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35" windowHeight="8505" activeTab="1"/>
  </bookViews>
  <sheets>
    <sheet name="説明" sheetId="1" r:id="rId1"/>
    <sheet name="基準年度の温室効果ガス計算シート" sheetId="2" r:id="rId2"/>
    <sheet name="実績年度の温室効果ガス計算シート" sheetId="3" r:id="rId3"/>
  </sheets>
  <definedNames>
    <definedName name="Ａ対策区分">#REF!</definedName>
    <definedName name="B対策区分">#REF!</definedName>
    <definedName name="C対策区分">#REF!</definedName>
    <definedName name="_xlnm.Print_Area" localSheetId="1">'基準年度の温室効果ガス計算シート'!$A$1:$N$50</definedName>
    <definedName name="_xlnm.Print_Area" localSheetId="2">'実績年度の温室効果ガス計算シート'!$A$1:$Q$50</definedName>
    <definedName name="エコドライブの推進">#REF!</definedName>
    <definedName name="エネルギーデータ管理">#REF!</definedName>
    <definedName name="エネルギーデータ管理_運輸">#REF!</definedName>
    <definedName name="エネルギー起源以外の削減取組">#REF!</definedName>
    <definedName name="コージェネレーション設備">#REF!</definedName>
    <definedName name="サービス提供事業者の活用">#REF!</definedName>
    <definedName name="その他">#REF!</definedName>
    <definedName name="その他取組">#REF!</definedName>
    <definedName name="一般管理">#REF!</definedName>
    <definedName name="一般管理_運輸">#REF!</definedName>
    <definedName name="運転管理">#REF!</definedName>
    <definedName name="運輸">#REF!</definedName>
    <definedName name="運用対策">#REF!</definedName>
    <definedName name="給湯設備・換気設備・昇降設備等">#REF!</definedName>
    <definedName name="業務部門">#REF!</definedName>
    <definedName name="空気調和設備">#REF!</definedName>
    <definedName name="再エネ・未利用エネ活用">#REF!</definedName>
    <definedName name="産業部門">#REF!</definedName>
    <definedName name="自動車の使用管理">#REF!</definedName>
    <definedName name="自動車の適正な維持管理">#REF!</definedName>
    <definedName name="自動車輸送の運用改善">#REF!</definedName>
    <definedName name="社員の家庭への普及">#REF!</definedName>
    <definedName name="照明設備">#REF!</definedName>
    <definedName name="省エネ技術の導入">#REF!</definedName>
    <definedName name="推進体制の整備">#REF!</definedName>
    <definedName name="推進体制の整備_運輸">#REF!</definedName>
    <definedName name="積載率の向上">#REF!</definedName>
    <definedName name="設備の運用改善">#REF!</definedName>
    <definedName name="設備導入">#REF!</definedName>
    <definedName name="地域や社員の家庭への普及啓発">#REF!</definedName>
    <definedName name="地域等連携">#REF!</definedName>
    <definedName name="低燃費車の導入等">#REF!</definedName>
    <definedName name="抵抗等電気損失防止">#REF!</definedName>
    <definedName name="伝熱合理化_ア加熱設備等">#REF!</definedName>
    <definedName name="伝熱合理化_イ空調・給湯">#REF!</definedName>
    <definedName name="電気使用設備">#REF!</definedName>
    <definedName name="二酸化炭素の吸収源対策">#REF!</definedName>
    <definedName name="二酸化炭素の吸収源対策_">#REF!</definedName>
    <definedName name="熱の動力等変換合理化">#REF!</definedName>
    <definedName name="熱利用設備">#REF!</definedName>
    <definedName name="燃焼合理化">#REF!</definedName>
    <definedName name="燃焼設備">#REF!</definedName>
    <definedName name="燃料の選択">#REF!</definedName>
    <definedName name="廃棄物削減対策">#REF!</definedName>
    <definedName name="排出低減技術等の開発・普及">#REF!</definedName>
    <definedName name="排出低減技術等の開発・普及_">#REF!</definedName>
    <definedName name="排熱の回収利用">#REF!</definedName>
    <definedName name="排熱回収設備">#REF!</definedName>
    <definedName name="変換合理化_ア電動力応用・電気加熱等">#REF!</definedName>
    <definedName name="変換合理化_イ照明・事務機器">#REF!</definedName>
    <definedName name="保守及び点検">#REF!</definedName>
    <definedName name="輸送の効率化">#REF!</definedName>
    <definedName name="余剰蒸気の活用等">#REF!</definedName>
  </definedNames>
  <calcPr fullCalcOnLoad="1"/>
</workbook>
</file>

<file path=xl/sharedStrings.xml><?xml version="1.0" encoding="utf-8"?>
<sst xmlns="http://schemas.openxmlformats.org/spreadsheetml/2006/main" count="671" uniqueCount="187">
  <si>
    <t>１　事業所全体の取組による温室効果ガス排出の削減</t>
  </si>
  <si>
    <t>○一部燃料による計算表の例</t>
  </si>
  <si>
    <t>　「基準年度の温室効果ガス計算シート」「実績年度の温室効果ガス計算シート」それぞれに入力。</t>
  </si>
  <si>
    <t>石炭コークス</t>
  </si>
  <si>
    <t>熱量（GJ）
Ｂ＝Ａ×C</t>
  </si>
  <si>
    <t>　「基準年度の温室効果ガス計算シート」「実績年度の温室効果ガス計算シート」それぞれ、</t>
  </si>
  <si>
    <t>・実施しなかった場合の温室効果ガス排出量－実施した場合の温室効果ガス排出量</t>
  </si>
  <si>
    <r>
      <t>・</t>
    </r>
    <r>
      <rPr>
        <sz val="12"/>
        <rFont val="ＭＳ Ｐ明朝"/>
        <family val="1"/>
      </rPr>
      <t>基準年度の</t>
    </r>
    <r>
      <rPr>
        <u val="single"/>
        <sz val="12"/>
        <rFont val="ＭＳ Ｐ明朝"/>
        <family val="1"/>
      </rPr>
      <t>事業所</t>
    </r>
    <r>
      <rPr>
        <sz val="12"/>
        <rFont val="ＭＳ Ｐ明朝"/>
        <family val="1"/>
      </rPr>
      <t>温室効果ガス排出量－実績年度の</t>
    </r>
    <r>
      <rPr>
        <u val="single"/>
        <sz val="12"/>
        <rFont val="ＭＳ Ｐゴシック"/>
        <family val="3"/>
      </rPr>
      <t>事業所</t>
    </r>
    <r>
      <rPr>
        <sz val="12"/>
        <rFont val="ＭＳ Ｐ明朝"/>
        <family val="1"/>
      </rPr>
      <t>温室効果ガス排出量</t>
    </r>
  </si>
  <si>
    <t>静岡ガス株式会社</t>
  </si>
  <si>
    <t>○植林による削減量（推定値）の計算例</t>
  </si>
  <si>
    <t>　また、エネルギー使用量の把握が困難な場合は、一部燃料（電気のみ等）でも可。</t>
  </si>
  <si>
    <r>
      <t>→</t>
    </r>
    <r>
      <rPr>
        <sz val="12"/>
        <rFont val="ＭＳ Ｐゴシック"/>
        <family val="3"/>
      </rPr>
      <t>事業所全体のエネルギー使用量</t>
    </r>
    <r>
      <rPr>
        <sz val="12"/>
        <rFont val="ＭＳ Ｐ明朝"/>
        <family val="1"/>
      </rPr>
      <t>を把握した上で、</t>
    </r>
  </si>
  <si>
    <t>　なお、これに類する書類や、別途作成した計算表（ＥＡ２１報告で使用した様式等）でも可。</t>
  </si>
  <si>
    <t>植樹数</t>
  </si>
  <si>
    <t>燃料</t>
  </si>
  <si>
    <t>ナフサ</t>
  </si>
  <si>
    <t>中遠ガス株式会社</t>
  </si>
  <si>
    <r>
      <t>二</t>
    </r>
    <r>
      <rPr>
        <sz val="11"/>
        <rFont val="ＭＳ 明朝"/>
        <family val="1"/>
      </rPr>
      <t>酸化炭素排出量
（t-CO</t>
    </r>
    <r>
      <rPr>
        <vertAlign val="subscript"/>
        <sz val="11"/>
        <rFont val="ＭＳ 明朝"/>
        <family val="1"/>
      </rPr>
      <t>2</t>
    </r>
    <r>
      <rPr>
        <sz val="11"/>
        <rFont val="ＭＳ 明朝"/>
        <family val="1"/>
      </rPr>
      <t>）
G（※4）</t>
    </r>
  </si>
  <si>
    <t>千kwh</t>
  </si>
  <si>
    <t>基準（H28)</t>
  </si>
  <si>
    <t>係数</t>
  </si>
  <si>
    <t>CO2排出量</t>
  </si>
  <si>
    <t>※林齢50年の杉が１本増加と仮定（樹種・林齢により異なる。正確な値が分かる場合はそれを添付）</t>
  </si>
  <si>
    <t>実績（H29)</t>
  </si>
  <si>
    <t>数値
D</t>
  </si>
  <si>
    <t>産業用以外の蒸気</t>
  </si>
  <si>
    <t>(単位）</t>
  </si>
  <si>
    <r>
      <t>・</t>
    </r>
    <r>
      <rPr>
        <sz val="12"/>
        <rFont val="ＭＳ Ｐ明朝"/>
        <family val="1"/>
      </rPr>
      <t>基準年度の</t>
    </r>
    <r>
      <rPr>
        <u val="single"/>
        <sz val="12"/>
        <rFont val="ＭＳ Ｐゴシック"/>
        <family val="3"/>
      </rPr>
      <t>一部設備</t>
    </r>
    <r>
      <rPr>
        <sz val="12"/>
        <rFont val="ＭＳ Ｐ明朝"/>
        <family val="1"/>
      </rPr>
      <t>の温室効果ガス排出量－実績年度の</t>
    </r>
    <r>
      <rPr>
        <u val="single"/>
        <sz val="12"/>
        <rFont val="ＭＳ Ｐゴシック"/>
        <family val="3"/>
      </rPr>
      <t>一部設備</t>
    </r>
    <r>
      <rPr>
        <sz val="12"/>
        <rFont val="ＭＳ Ｐ明朝"/>
        <family val="1"/>
      </rPr>
      <t>の温室効果ガス排出量</t>
    </r>
  </si>
  <si>
    <t>都市ガス</t>
  </si>
  <si>
    <t>　または、これに類する書類、別途作成した計算表を添付。</t>
  </si>
  <si>
    <t>千㎥</t>
  </si>
  <si>
    <t>電気</t>
  </si>
  <si>
    <t>合計</t>
  </si>
  <si>
    <t>無煙炭</t>
  </si>
  <si>
    <t>t-CO2</t>
  </si>
  <si>
    <t>基準年度のエネルギー使用状況</t>
  </si>
  <si>
    <t>数値
Ｃ</t>
  </si>
  <si>
    <t>削減量</t>
  </si>
  <si>
    <t>A重油</t>
  </si>
  <si>
    <t>例</t>
  </si>
  <si>
    <t>２　事業所内の一部設備等における温室効果ガス排出の削減</t>
  </si>
  <si>
    <r>
      <t>→</t>
    </r>
    <r>
      <rPr>
        <sz val="12"/>
        <rFont val="ＭＳ Ｐゴシック"/>
        <family val="3"/>
      </rPr>
      <t>削減対策を実施した一部設備のエネルギー使用量</t>
    </r>
    <r>
      <rPr>
        <sz val="12"/>
        <rFont val="ＭＳ Ｐ明朝"/>
        <family val="1"/>
      </rPr>
      <t>を把握した上で、</t>
    </r>
  </si>
  <si>
    <t>その他の燃料</t>
  </si>
  <si>
    <t>３　普及啓発による温室効果ガス排出の削減（把握できる場合のみ）</t>
  </si>
  <si>
    <t>→実施したことによるエネルギー使用量の低減効果が分かっている場合は、作成した計算表を添付。</t>
  </si>
  <si>
    <t>○県民の節電量が分かっている場合の計算例</t>
  </si>
  <si>
    <t>原油のうちコンデンセート（NGL）</t>
  </si>
  <si>
    <t>一人あたり節電量(kwh／年)</t>
  </si>
  <si>
    <t>参加者数(人）</t>
  </si>
  <si>
    <t>CO2削減量(kg-CO2／年)</t>
  </si>
  <si>
    <t>熱量（GJ）
E＝D×C</t>
  </si>
  <si>
    <t>その他</t>
  </si>
  <si>
    <t>数値
A</t>
  </si>
  <si>
    <t>F＝Ｂ－E
（※1）</t>
  </si>
  <si>
    <t>東海ガス株式会社</t>
  </si>
  <si>
    <t>４　植林等による温室効果ガス排出の削減（把握できる場合のみ）</t>
  </si>
  <si>
    <t>・実施しなかった場合の温室効果ガス排出量－植林等による森林吸収量</t>
  </si>
  <si>
    <t>→植林等による森林吸収量が分かっている場合は、作成した計算表を添付。</t>
  </si>
  <si>
    <t>一本あたり吸収量(kg-CO2／年)</t>
  </si>
  <si>
    <t>※3　電気のうち買電に関するものは、各電力事業者の排出係数（各電力会社から公表される実排出係数又は代替値に千を乗じたもの）を欄外②に記入する。</t>
  </si>
  <si>
    <t>エネルギーの種類</t>
  </si>
  <si>
    <t>単位発熱量</t>
  </si>
  <si>
    <t>エネルギー使用量</t>
  </si>
  <si>
    <t>販売したエネルギーの量</t>
  </si>
  <si>
    <t>単位</t>
  </si>
  <si>
    <t>GJ/kl</t>
  </si>
  <si>
    <t>原油（コンデンセートを除く。）</t>
  </si>
  <si>
    <t>kl</t>
  </si>
  <si>
    <t>揮発油（ガソリン）</t>
  </si>
  <si>
    <t>都市ガス（※2）</t>
  </si>
  <si>
    <t>B・C重油</t>
  </si>
  <si>
    <t>株式会社イーエムアイ</t>
  </si>
  <si>
    <t>灯油</t>
  </si>
  <si>
    <t>軽油</t>
  </si>
  <si>
    <t>石油アスファルト</t>
  </si>
  <si>
    <t>t</t>
  </si>
  <si>
    <t>GJ/t</t>
  </si>
  <si>
    <t>石油コークス</t>
  </si>
  <si>
    <t>石油ガス</t>
  </si>
  <si>
    <t>液化石油ガス（LPG）</t>
  </si>
  <si>
    <t>石油系炭化水素ガス</t>
  </si>
  <si>
    <t>GJ/千㎥</t>
  </si>
  <si>
    <t>可燃性天然ガス</t>
  </si>
  <si>
    <t>液化天然ガス（LＮG）</t>
  </si>
  <si>
    <t>「その他の燃料」の排出係数を入力してください。→</t>
  </si>
  <si>
    <t>その他可燃性天然ガス</t>
  </si>
  <si>
    <t>（単位：t-CO2/GJ)</t>
  </si>
  <si>
    <t>石炭</t>
  </si>
  <si>
    <t>原料炭</t>
  </si>
  <si>
    <t>一般炭</t>
  </si>
  <si>
    <t>※計画書から排出係数を固定した場合</t>
  </si>
  <si>
    <t>コールタール</t>
  </si>
  <si>
    <t>コークス炉ガス</t>
  </si>
  <si>
    <t>高炉ガス</t>
  </si>
  <si>
    <t>販売した
エネルギー
の量
数値</t>
  </si>
  <si>
    <t>契約先都市ガス事業者名</t>
  </si>
  <si>
    <t>事業所使用量</t>
  </si>
  <si>
    <t>都市ガス事業者の単位発熱量</t>
  </si>
  <si>
    <t>事業者ごとの発熱量</t>
  </si>
  <si>
    <t>加重平均発熱量</t>
  </si>
  <si>
    <t>転炉ガス</t>
  </si>
  <si>
    <t>湯河原ガス株式会社</t>
  </si>
  <si>
    <t>（　　　　　　　　）</t>
  </si>
  <si>
    <t>GJ/</t>
  </si>
  <si>
    <t>熱海ガス株式会社</t>
  </si>
  <si>
    <t>小計</t>
  </si>
  <si>
    <r>
      <t>二</t>
    </r>
    <r>
      <rPr>
        <sz val="11"/>
        <rFont val="ＭＳ Ｐ明朝"/>
        <family val="1"/>
      </rPr>
      <t>酸化炭素排出量
（t-CO</t>
    </r>
    <r>
      <rPr>
        <vertAlign val="subscript"/>
        <sz val="11"/>
        <rFont val="ＭＳ Ｐ明朝"/>
        <family val="1"/>
      </rPr>
      <t>2</t>
    </r>
    <r>
      <rPr>
        <sz val="11"/>
        <rFont val="ＭＳ Ｐ明朝"/>
        <family val="1"/>
      </rPr>
      <t>）
G（※4）</t>
    </r>
  </si>
  <si>
    <t>電気事業者
（※3）</t>
  </si>
  <si>
    <t>伊東ガス株式会社</t>
  </si>
  <si>
    <t>熱</t>
  </si>
  <si>
    <t>産業用蒸気</t>
  </si>
  <si>
    <t>GJ</t>
  </si>
  <si>
    <t>GJ/GJ</t>
  </si>
  <si>
    <t>下田ガス株式会社</t>
  </si>
  <si>
    <t>御殿場ガス株式会社</t>
  </si>
  <si>
    <t>温水</t>
  </si>
  <si>
    <t>冷水</t>
  </si>
  <si>
    <t>島田ガス株式会社</t>
  </si>
  <si>
    <t>電気</t>
  </si>
  <si>
    <t>昼間買電</t>
  </si>
  <si>
    <t>GJ/千kwh</t>
  </si>
  <si>
    <t>袋井ガス株式会社</t>
  </si>
  <si>
    <t>夜間買電</t>
  </si>
  <si>
    <t>上記以外の買電</t>
  </si>
  <si>
    <t>中部ガス株式会社</t>
  </si>
  <si>
    <t>自家発電</t>
  </si>
  <si>
    <t>その他のガス会社</t>
  </si>
  <si>
    <t>合計</t>
  </si>
  <si>
    <t>原油換算（kl)</t>
  </si>
  <si>
    <r>
      <t>電</t>
    </r>
    <r>
      <rPr>
        <sz val="10"/>
        <rFont val="ＭＳ Ｐ明朝"/>
        <family val="1"/>
      </rPr>
      <t>気の排出係数（買電に係るもの）(※3)（ｔ-CO</t>
    </r>
    <r>
      <rPr>
        <vertAlign val="subscript"/>
        <sz val="10"/>
        <rFont val="ＭＳ Ｐ明朝"/>
        <family val="1"/>
      </rPr>
      <t>2</t>
    </r>
    <r>
      <rPr>
        <sz val="10"/>
        <rFont val="ＭＳ Ｐ明朝"/>
        <family val="1"/>
      </rPr>
      <t>/千kＷh）②</t>
    </r>
  </si>
  <si>
    <t>電気事業者
（※4）</t>
  </si>
  <si>
    <r>
      <t>電</t>
    </r>
    <r>
      <rPr>
        <sz val="10"/>
        <rFont val="ＭＳ Ｐ明朝"/>
        <family val="1"/>
      </rPr>
      <t>気の排出係数（自家発電に係るもの）(※4)（ｔ-CO</t>
    </r>
    <r>
      <rPr>
        <vertAlign val="subscript"/>
        <sz val="10"/>
        <rFont val="ＭＳ Ｐ明朝"/>
        <family val="1"/>
      </rPr>
      <t>2</t>
    </r>
    <r>
      <rPr>
        <sz val="10"/>
        <rFont val="ＭＳ Ｐ明朝"/>
        <family val="1"/>
      </rPr>
      <t>/千kＷh）③</t>
    </r>
  </si>
  <si>
    <t>※1　熱についてはＡ－Ｄとする。</t>
  </si>
  <si>
    <t>※2　都市ガスの①欄の数値は、ガス供給事業者ごとの実際の数値を用いること。</t>
  </si>
  <si>
    <t>※4　電気の排出係数は、各電力会社から公表される実排出係数又は代替値に千を乗じたものとする。</t>
  </si>
  <si>
    <t>契約先電気事業者名</t>
  </si>
  <si>
    <t>電気事業者別排出係数</t>
  </si>
  <si>
    <t>【参考】都市ガス供給事業者が公表する単位発熱量</t>
  </si>
  <si>
    <t>事業者ごとのCO2排出量</t>
  </si>
  <si>
    <t>※5　Ｆの値に、地球温暖化対策の推進に関する法律施行令（平成11年政令第143号）第3条に定める排出係数を乗じて求められる値を記入する。なお、電気のうち買電に関するものは</t>
  </si>
  <si>
    <t>Ａの値に欄外②の値を乗じた値を、自家発電に関するものはＤの値に欄外③の値を乗じた値を記入する。</t>
  </si>
  <si>
    <t>東京電力株式会社</t>
  </si>
  <si>
    <t>中部電力株式会社</t>
  </si>
  <si>
    <t>【参考】H28電気事業者別排出係数(H29.12月公表)×1,000</t>
  </si>
  <si>
    <t>※その他の会社から購入している場合は、環境省ＨＰを確認↓</t>
  </si>
  <si>
    <t>東京電力エナジーパートナー株式会社</t>
  </si>
  <si>
    <t>中部電力株式会社</t>
  </si>
  <si>
    <t>イーレックス株式会社</t>
  </si>
  <si>
    <t>伊藤忠エネクス株式会社</t>
  </si>
  <si>
    <t>エネサーブ株式会社</t>
  </si>
  <si>
    <t>株式会社エネット</t>
  </si>
  <si>
    <t>株式会社F－Power</t>
  </si>
  <si>
    <t>※上記はH28実績用のため、該当年度の前年度の係数を参照してください。</t>
  </si>
  <si>
    <t>株式会社洸陽電機</t>
  </si>
  <si>
    <t>株式会社V-Power</t>
  </si>
  <si>
    <t>株式会社みらい電力</t>
  </si>
  <si>
    <t>サミットエナジー株式会社</t>
  </si>
  <si>
    <t>JXTGエネルギー株式会社</t>
  </si>
  <si>
    <t>ダイヤモンドパワー株式会社</t>
  </si>
  <si>
    <t>※供給先が県内の事業者のみ抜粋</t>
  </si>
  <si>
    <t>丸紅新電力株式会社</t>
  </si>
  <si>
    <t>※資源エネルギー庁「定期報告書記入要領　別添４」参照</t>
  </si>
  <si>
    <t>ミツウロコグリーンエネルギー株式会社</t>
  </si>
  <si>
    <t>アーバンエナジー株式会社</t>
  </si>
  <si>
    <t>【参考】自家発電の場合の排出係数算定方法</t>
  </si>
  <si>
    <t>排出係数</t>
  </si>
  <si>
    <t>鈴与商事株式会社</t>
  </si>
  <si>
    <t>ワタミファーム＆エネジー株式会社</t>
  </si>
  <si>
    <t>自家発電量（合計）</t>
  </si>
  <si>
    <t>千kw</t>
  </si>
  <si>
    <t>発電のために使用した燃料の種類・量</t>
  </si>
  <si>
    <t>http://www.env.go.jp/press/104919.html</t>
  </si>
  <si>
    <t>※上記はH29実績用のため、該当年度の前年度の係数を参照してください。</t>
  </si>
  <si>
    <t>JXエネルギー株式会社</t>
  </si>
  <si>
    <t>http://www.env.go.jp/press/103407.html</t>
  </si>
  <si>
    <t>（　　　）年度のエネルギー使用状況・温室効果ガス排出状況</t>
  </si>
  <si>
    <t>基準年からの増減量</t>
  </si>
  <si>
    <t>エネルギー
使用量
数値</t>
  </si>
  <si>
    <t>合計
熱量</t>
  </si>
  <si>
    <t>※5　Ｆの値に、地球温暖化対策の推進に関する法律施行令（平成11年政令第143号）第6条に定める係数を乗じて求められる値を記入する。なお、電気のうち買電に関するものは</t>
  </si>
  <si>
    <t>※太陽光発電等非化石燃料による発電は含まない。</t>
  </si>
  <si>
    <t>【参考】H27電気事業者別排出係数(H28.12月公表)×1,000</t>
  </si>
  <si>
    <t>【参考】H29電気事業者別排出係数(H30.12月公表)×1,000</t>
  </si>
  <si>
    <t>シン・エナジー(株)(旧:(株)洸陽電機)</t>
  </si>
  <si>
    <t>https://ghg-santeikohyo.env.go.jp/files/calc/h31_coefficient.pdf</t>
  </si>
  <si>
    <t>伊藤忠エネクス株式会社</t>
  </si>
  <si>
    <t>※上記はH30実績用のため、該当年度の前年度の係数を参照してください。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</si>
</sst>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 &quot;0.0"/>
    <numFmt numFmtId="178" formatCode="#,##0.0;&quot;▲ &quot;#,##0.0"/>
    <numFmt numFmtId="179" formatCode="#,##0;&quot;▲ &quot;#,##0"/>
    <numFmt numFmtId="180" formatCode="#,##0.0_ ;[Red]\-#,##0.0\ "/>
    <numFmt numFmtId="181" formatCode="0.00;&quot;▲ &quot;0.00"/>
    <numFmt numFmtId="182" formatCode="#,##0.00_ ;[Red]\-#,##0.00\ "/>
    <numFmt numFmtId="183" formatCode="0.00_);[Red]\(0.00\)"/>
    <numFmt numFmtId="184" formatCode="#,##0.000000;&quot;▲ &quot;#,##0.000000"/>
    <numFmt numFmtId="185" formatCode="0.000_ "/>
    <numFmt numFmtId="186" formatCode="#,##0.00;&quot;▲ &quot;#,##0.00"/>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Ｐ明朝"/>
      <family val="1"/>
    </font>
    <font>
      <sz val="11"/>
      <name val="ＭＳ Ｐ明朝"/>
      <family val="1"/>
    </font>
    <font>
      <sz val="11"/>
      <name val="ＭＳ 明朝"/>
      <family val="1"/>
    </font>
    <font>
      <sz val="16"/>
      <name val="ＭＳ 明朝"/>
      <family val="1"/>
    </font>
    <font>
      <b/>
      <sz val="11"/>
      <color indexed="10"/>
      <name val="ＭＳ ゴシック"/>
      <family val="3"/>
    </font>
    <font>
      <sz val="9"/>
      <name val="ＭＳ 明朝"/>
      <family val="1"/>
    </font>
    <font>
      <sz val="7"/>
      <name val="ＭＳ 明朝"/>
      <family val="1"/>
    </font>
    <font>
      <sz val="10"/>
      <name val="ＭＳ Ｐ明朝"/>
      <family val="1"/>
    </font>
    <font>
      <b/>
      <sz val="11"/>
      <color indexed="10"/>
      <name val="ＭＳ 明朝"/>
      <family val="1"/>
    </font>
    <font>
      <sz val="7"/>
      <name val="ＭＳ Ｐ明朝"/>
      <family val="1"/>
    </font>
    <font>
      <sz val="9"/>
      <name val="ＭＳ Ｐ明朝"/>
      <family val="1"/>
    </font>
    <font>
      <sz val="6"/>
      <name val="ＭＳ Ｐゴシック"/>
      <family val="3"/>
    </font>
    <font>
      <sz val="14"/>
      <name val="ＭＳ Ｐゴシック"/>
      <family val="3"/>
    </font>
    <font>
      <b/>
      <sz val="11"/>
      <color indexed="10"/>
      <name val="ＭＳ Ｐゴシック"/>
      <family val="3"/>
    </font>
    <font>
      <u val="single"/>
      <sz val="12"/>
      <name val="ＭＳ Ｐ明朝"/>
      <family val="1"/>
    </font>
    <font>
      <u val="single"/>
      <sz val="12"/>
      <name val="ＭＳ Ｐゴシック"/>
      <family val="3"/>
    </font>
    <font>
      <vertAlign val="subscript"/>
      <sz val="11"/>
      <name val="ＭＳ 明朝"/>
      <family val="1"/>
    </font>
    <font>
      <vertAlign val="subscript"/>
      <sz val="11"/>
      <name val="ＭＳ Ｐ明朝"/>
      <family val="1"/>
    </font>
    <font>
      <vertAlign val="subscript"/>
      <sz val="10"/>
      <name val="ＭＳ Ｐ明朝"/>
      <family val="1"/>
    </font>
    <font>
      <sz val="10"/>
      <name val="ＭＳ 明朝"/>
      <family val="1"/>
    </font>
    <font>
      <sz val="9"/>
      <name val="MS UI Gothic"/>
      <family val="3"/>
    </font>
  </fonts>
  <fills count="6">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s>
  <borders count="40">
    <border>
      <left/>
      <right/>
      <top/>
      <bottom/>
      <diagonal/>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style="medium"/>
      <right style="medium"/>
      <top style="medium"/>
      <bottom style="medium"/>
    </border>
    <border>
      <left style="medium"/>
      <right style="medium"/>
      <top style="thin"/>
      <bottom style="thin"/>
    </border>
    <border diagonalUp="1">
      <left style="thin"/>
      <right style="thin"/>
      <top style="thin"/>
      <bottom style="thin"/>
      <diagonal style="thin"/>
    </border>
    <border>
      <left>
        <color indexed="63"/>
      </left>
      <right>
        <color indexed="63"/>
      </right>
      <top style="thin"/>
      <bottom style="thin"/>
    </border>
    <border>
      <left style="thin"/>
      <right style="thin"/>
      <top style="thin"/>
      <bottom>
        <color indexed="63"/>
      </bottom>
    </border>
    <border diagonalUp="1">
      <left style="thin"/>
      <right style="thin"/>
      <top style="thin"/>
      <bottom>
        <color indexed="63"/>
      </bottom>
      <diagonal style="thin"/>
    </border>
    <border>
      <left style="thin"/>
      <right>
        <color indexed="63"/>
      </right>
      <top style="thin"/>
      <bottom>
        <color indexed="63"/>
      </bottom>
    </border>
    <border>
      <left style="medium"/>
      <right style="medium"/>
      <top style="thin"/>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double"/>
      <top style="double"/>
      <bottom style="double"/>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medium"/>
      <top style="thin"/>
      <bottom style="thin"/>
    </border>
    <border>
      <left style="medium"/>
      <right>
        <color indexed="63"/>
      </right>
      <top style="thin"/>
      <bottom style="thin"/>
    </border>
    <border diagonalDown="1">
      <left style="medium"/>
      <right>
        <color indexed="63"/>
      </right>
      <top style="thin"/>
      <bottom style="thin"/>
      <diagonal style="thin"/>
    </border>
    <border diagonalDown="1">
      <left>
        <color indexed="63"/>
      </left>
      <right style="thin"/>
      <top style="thin"/>
      <bottom style="thin"/>
      <diagonal style="thin"/>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medium"/>
      <right style="medium"/>
      <top style="medium"/>
      <bottom style="thin"/>
    </border>
    <border diagonalDown="1">
      <left>
        <color indexed="63"/>
      </left>
      <right>
        <color indexed="63"/>
      </right>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20">
    <xf numFmtId="0" fontId="0" fillId="0" borderId="0" xfId="0"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vertical="center"/>
    </xf>
    <xf numFmtId="0" fontId="6" fillId="0" borderId="1" xfId="0" applyFont="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6" fillId="0" borderId="1" xfId="0" applyFont="1"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right" vertical="center" shrinkToFit="1"/>
    </xf>
    <xf numFmtId="38" fontId="0" fillId="0" borderId="1" xfId="17" applyBorder="1" applyAlignment="1">
      <alignment horizontal="right" vertical="center" shrinkToFit="1"/>
    </xf>
    <xf numFmtId="0" fontId="9" fillId="0" borderId="0" xfId="0" applyFont="1" applyAlignment="1" applyProtection="1">
      <alignment vertical="center"/>
      <protection/>
    </xf>
    <xf numFmtId="0" fontId="9" fillId="0" borderId="0" xfId="0" applyFont="1" applyFill="1" applyAlignment="1" applyProtection="1">
      <alignment vertical="center"/>
      <protection/>
    </xf>
    <xf numFmtId="0" fontId="10" fillId="0" borderId="0" xfId="0" applyFont="1" applyAlignment="1" applyProtection="1">
      <alignment vertical="center"/>
      <protection/>
    </xf>
    <xf numFmtId="0" fontId="9" fillId="0" borderId="1" xfId="0" applyFont="1" applyBorder="1" applyAlignment="1" applyProtection="1">
      <alignment horizontal="center" vertical="center" wrapText="1"/>
      <protection/>
    </xf>
    <xf numFmtId="0" fontId="9" fillId="0" borderId="1" xfId="0" applyFont="1" applyBorder="1" applyAlignment="1" applyProtection="1">
      <alignment horizontal="center" vertical="center"/>
      <protection/>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76" fontId="9" fillId="2" borderId="1" xfId="17" applyNumberFormat="1" applyFont="1" applyFill="1" applyBorder="1" applyAlignment="1" applyProtection="1">
      <alignment vertical="center" shrinkToFit="1"/>
      <protection locked="0"/>
    </xf>
    <xf numFmtId="38" fontId="9" fillId="0" borderId="1" xfId="17" applyFont="1" applyBorder="1" applyAlignment="1" applyProtection="1">
      <alignment horizontal="center" vertical="center"/>
      <protection/>
    </xf>
    <xf numFmtId="177" fontId="9" fillId="0" borderId="1" xfId="17" applyNumberFormat="1" applyFont="1" applyBorder="1" applyAlignment="1" applyProtection="1">
      <alignment vertical="center"/>
      <protection/>
    </xf>
    <xf numFmtId="178" fontId="9" fillId="0" borderId="1" xfId="17" applyNumberFormat="1" applyFont="1" applyBorder="1" applyAlignment="1" applyProtection="1">
      <alignment vertical="center"/>
      <protection/>
    </xf>
    <xf numFmtId="179" fontId="9" fillId="0" borderId="3" xfId="17" applyNumberFormat="1" applyFont="1" applyBorder="1" applyAlignment="1" applyProtection="1">
      <alignment vertical="center"/>
      <protection/>
    </xf>
    <xf numFmtId="180" fontId="9" fillId="0" borderId="1" xfId="17" applyNumberFormat="1" applyFont="1" applyBorder="1" applyAlignment="1">
      <alignment vertical="center"/>
    </xf>
    <xf numFmtId="38" fontId="9" fillId="0" borderId="1" xfId="17" applyFont="1" applyBorder="1" applyAlignment="1">
      <alignment horizontal="center" vertical="center"/>
    </xf>
    <xf numFmtId="180" fontId="9" fillId="0" borderId="1" xfId="17" applyNumberFormat="1" applyFont="1" applyFill="1" applyBorder="1" applyAlignment="1">
      <alignment vertical="center"/>
    </xf>
    <xf numFmtId="0" fontId="9" fillId="0" borderId="4" xfId="0" applyFont="1" applyBorder="1" applyAlignment="1" applyProtection="1">
      <alignment vertical="center"/>
      <protection locked="0"/>
    </xf>
    <xf numFmtId="0" fontId="11" fillId="0" borderId="0" xfId="0" applyFont="1" applyAlignment="1" applyProtection="1">
      <alignment vertical="center"/>
      <protection/>
    </xf>
    <xf numFmtId="181" fontId="9" fillId="0" borderId="1" xfId="17" applyNumberFormat="1" applyFont="1" applyBorder="1" applyAlignment="1" applyProtection="1">
      <alignment vertical="center"/>
      <protection/>
    </xf>
    <xf numFmtId="182" fontId="9" fillId="0" borderId="1" xfId="17" applyNumberFormat="1" applyFont="1" applyBorder="1" applyAlignment="1">
      <alignment vertical="center"/>
    </xf>
    <xf numFmtId="40" fontId="9" fillId="2" borderId="1" xfId="17" applyNumberFormat="1" applyFont="1" applyFill="1" applyBorder="1" applyAlignment="1" applyProtection="1">
      <alignment vertical="center" shrinkToFit="1"/>
      <protection locked="0"/>
    </xf>
    <xf numFmtId="38" fontId="9" fillId="0" borderId="5" xfId="17" applyFont="1" applyBorder="1" applyAlignment="1" applyProtection="1">
      <alignment vertical="center"/>
      <protection locked="0"/>
    </xf>
    <xf numFmtId="38" fontId="9" fillId="0" borderId="1" xfId="17" applyFont="1" applyBorder="1" applyAlignment="1" applyProtection="1">
      <alignment vertical="center"/>
      <protection/>
    </xf>
    <xf numFmtId="0" fontId="9" fillId="0" borderId="2" xfId="0" applyFont="1" applyBorder="1" applyAlignment="1" applyProtection="1">
      <alignment vertical="center"/>
      <protection/>
    </xf>
    <xf numFmtId="38" fontId="9" fillId="2" borderId="1" xfId="17" applyFont="1" applyFill="1" applyBorder="1" applyAlignment="1" applyProtection="1">
      <alignment horizontal="center" vertical="center"/>
      <protection locked="0"/>
    </xf>
    <xf numFmtId="38" fontId="9" fillId="2" borderId="1" xfId="17" applyFont="1" applyFill="1" applyBorder="1" applyAlignment="1" applyProtection="1">
      <alignment vertical="center" shrinkToFit="1"/>
      <protection locked="0"/>
    </xf>
    <xf numFmtId="0" fontId="9" fillId="3" borderId="6" xfId="0" applyFont="1" applyFill="1" applyBorder="1" applyAlignment="1" applyProtection="1">
      <alignment vertical="center"/>
      <protection/>
    </xf>
    <xf numFmtId="178" fontId="9" fillId="3" borderId="1" xfId="17" applyNumberFormat="1" applyFont="1" applyFill="1" applyBorder="1" applyAlignment="1" applyProtection="1">
      <alignment vertical="center"/>
      <protection/>
    </xf>
    <xf numFmtId="179" fontId="9" fillId="3" borderId="3" xfId="17" applyNumberFormat="1" applyFont="1" applyFill="1" applyBorder="1" applyAlignment="1" applyProtection="1">
      <alignment vertical="center"/>
      <protection/>
    </xf>
    <xf numFmtId="180" fontId="9" fillId="3" borderId="6" xfId="17" applyNumberFormat="1" applyFont="1" applyFill="1" applyBorder="1" applyAlignment="1">
      <alignment vertical="center"/>
    </xf>
    <xf numFmtId="38" fontId="9" fillId="3" borderId="6" xfId="17" applyFont="1" applyFill="1" applyBorder="1" applyAlignment="1">
      <alignment vertical="center"/>
    </xf>
    <xf numFmtId="180" fontId="9" fillId="0" borderId="6" xfId="17" applyNumberFormat="1" applyFont="1" applyFill="1" applyBorder="1" applyAlignment="1" applyProtection="1">
      <alignment vertical="center"/>
      <protection/>
    </xf>
    <xf numFmtId="183" fontId="13" fillId="0" borderId="6" xfId="17" applyNumberFormat="1" applyFont="1" applyBorder="1" applyAlignment="1" applyProtection="1">
      <alignment vertical="center" wrapText="1" shrinkToFit="1"/>
      <protection/>
    </xf>
    <xf numFmtId="184" fontId="9" fillId="0" borderId="6" xfId="17" applyNumberFormat="1" applyFont="1" applyBorder="1" applyAlignment="1" applyProtection="1">
      <alignment vertical="center"/>
      <protection/>
    </xf>
    <xf numFmtId="0" fontId="13" fillId="0" borderId="6" xfId="0" applyFont="1" applyBorder="1" applyAlignment="1" applyProtection="1">
      <alignment vertical="center" shrinkToFit="1"/>
      <protection/>
    </xf>
    <xf numFmtId="0" fontId="9" fillId="0" borderId="6" xfId="0" applyFont="1" applyBorder="1" applyAlignment="1" applyProtection="1">
      <alignment vertical="center"/>
      <protection/>
    </xf>
    <xf numFmtId="179" fontId="9" fillId="0" borderId="6" xfId="17" applyNumberFormat="1" applyFont="1" applyBorder="1" applyAlignment="1" applyProtection="1">
      <alignment vertical="center"/>
      <protection/>
    </xf>
    <xf numFmtId="183" fontId="9" fillId="0" borderId="6" xfId="17" applyNumberFormat="1" applyFont="1" applyBorder="1" applyAlignment="1" applyProtection="1">
      <alignment vertical="center"/>
      <protection/>
    </xf>
    <xf numFmtId="184" fontId="9" fillId="0" borderId="6" xfId="17" applyNumberFormat="1" applyFont="1" applyBorder="1" applyAlignment="1" applyProtection="1">
      <alignment vertical="center"/>
      <protection/>
    </xf>
    <xf numFmtId="182" fontId="9" fillId="0" borderId="6" xfId="17" applyNumberFormat="1" applyFont="1" applyBorder="1" applyAlignment="1">
      <alignment vertical="center"/>
    </xf>
    <xf numFmtId="38" fontId="9" fillId="0" borderId="6" xfId="17" applyFont="1" applyBorder="1" applyAlignment="1">
      <alignment vertical="center"/>
    </xf>
    <xf numFmtId="0" fontId="9" fillId="3" borderId="3" xfId="0" applyFont="1" applyFill="1" applyBorder="1" applyAlignment="1" applyProtection="1">
      <alignment vertical="center"/>
      <protection/>
    </xf>
    <xf numFmtId="0" fontId="9" fillId="3" borderId="7" xfId="0" applyFont="1" applyFill="1" applyBorder="1" applyAlignment="1" applyProtection="1">
      <alignment vertical="center"/>
      <protection/>
    </xf>
    <xf numFmtId="178" fontId="9" fillId="3" borderId="8" xfId="17" applyNumberFormat="1" applyFont="1" applyFill="1" applyBorder="1" applyAlignment="1" applyProtection="1">
      <alignment vertical="center"/>
      <protection/>
    </xf>
    <xf numFmtId="0" fontId="9" fillId="3" borderId="9" xfId="0" applyFont="1" applyFill="1" applyBorder="1" applyAlignment="1" applyProtection="1">
      <alignment vertical="center"/>
      <protection/>
    </xf>
    <xf numFmtId="179" fontId="9" fillId="3" borderId="10" xfId="17" applyNumberFormat="1" applyFont="1" applyFill="1" applyBorder="1" applyAlignment="1" applyProtection="1">
      <alignment vertical="center"/>
      <protection/>
    </xf>
    <xf numFmtId="182" fontId="9" fillId="3" borderId="6" xfId="17" applyNumberFormat="1" applyFont="1" applyFill="1" applyBorder="1" applyAlignment="1">
      <alignment vertical="center"/>
    </xf>
    <xf numFmtId="38" fontId="9" fillId="0" borderId="11" xfId="17" applyFont="1" applyFill="1" applyBorder="1" applyAlignment="1" applyProtection="1">
      <alignment vertical="center"/>
      <protection/>
    </xf>
    <xf numFmtId="38" fontId="9" fillId="0" borderId="1" xfId="17" applyFont="1" applyFill="1" applyBorder="1" applyAlignment="1" applyProtection="1">
      <alignment vertical="center"/>
      <protection/>
    </xf>
    <xf numFmtId="0" fontId="9" fillId="0" borderId="1" xfId="0" applyFont="1" applyFill="1" applyBorder="1" applyAlignment="1" applyProtection="1">
      <alignment vertical="center"/>
      <protection/>
    </xf>
    <xf numFmtId="0" fontId="9" fillId="4" borderId="6" xfId="0" applyFont="1" applyFill="1" applyBorder="1" applyAlignment="1" applyProtection="1">
      <alignment vertical="center"/>
      <protection/>
    </xf>
    <xf numFmtId="0" fontId="9" fillId="4" borderId="12" xfId="0" applyFont="1" applyFill="1" applyBorder="1" applyAlignment="1" applyProtection="1">
      <alignment vertical="center"/>
      <protection/>
    </xf>
    <xf numFmtId="178" fontId="9" fillId="0" borderId="4" xfId="0" applyNumberFormat="1" applyFont="1" applyFill="1" applyBorder="1" applyAlignment="1" applyProtection="1">
      <alignment vertical="center"/>
      <protection/>
    </xf>
    <xf numFmtId="0" fontId="9" fillId="4" borderId="13" xfId="0" applyFont="1" applyFill="1" applyBorder="1" applyAlignment="1" applyProtection="1">
      <alignment vertical="center"/>
      <protection/>
    </xf>
    <xf numFmtId="178" fontId="9" fillId="0" borderId="14" xfId="0" applyNumberFormat="1" applyFont="1" applyFill="1" applyBorder="1" applyAlignment="1" applyProtection="1">
      <alignment vertical="center"/>
      <protection/>
    </xf>
    <xf numFmtId="179" fontId="9" fillId="0" borderId="4" xfId="17" applyNumberFormat="1" applyFont="1" applyFill="1" applyBorder="1" applyAlignment="1" applyProtection="1">
      <alignment vertical="center"/>
      <protection/>
    </xf>
    <xf numFmtId="180" fontId="9" fillId="4" borderId="13" xfId="17" applyNumberFormat="1" applyFont="1" applyFill="1" applyBorder="1" applyAlignment="1">
      <alignment vertical="center"/>
    </xf>
    <xf numFmtId="38" fontId="9" fillId="4" borderId="6" xfId="17" applyFont="1" applyFill="1" applyBorder="1" applyAlignment="1">
      <alignment vertical="center"/>
    </xf>
    <xf numFmtId="0" fontId="9" fillId="0" borderId="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vertical="center"/>
      <protection/>
    </xf>
    <xf numFmtId="0" fontId="9" fillId="0" borderId="0" xfId="0" applyFont="1" applyFill="1" applyBorder="1" applyAlignment="1" applyProtection="1">
      <alignment vertical="center"/>
      <protection/>
    </xf>
    <xf numFmtId="179" fontId="9" fillId="0" borderId="0" xfId="0" applyNumberFormat="1" applyFont="1" applyFill="1" applyBorder="1" applyAlignment="1" applyProtection="1">
      <alignment vertical="center"/>
      <protection/>
    </xf>
    <xf numFmtId="179" fontId="9" fillId="0" borderId="0" xfId="17" applyNumberFormat="1" applyFont="1" applyFill="1" applyBorder="1" applyAlignment="1" applyProtection="1">
      <alignment vertical="center"/>
      <protection/>
    </xf>
    <xf numFmtId="185" fontId="9" fillId="0" borderId="0" xfId="0" applyNumberFormat="1" applyFont="1" applyAlignment="1" applyProtection="1">
      <alignment vertical="center"/>
      <protection/>
    </xf>
    <xf numFmtId="0" fontId="9" fillId="0" borderId="16" xfId="0" applyFont="1" applyFill="1" applyBorder="1" applyAlignment="1" applyProtection="1">
      <alignment vertical="center"/>
      <protection/>
    </xf>
    <xf numFmtId="185" fontId="9" fillId="2" borderId="1"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12" fillId="0" borderId="0" xfId="0" applyFont="1" applyAlignment="1" applyProtection="1">
      <alignment vertical="center"/>
      <protection/>
    </xf>
    <xf numFmtId="183" fontId="9" fillId="0" borderId="0" xfId="0" applyNumberFormat="1" applyFont="1" applyAlignment="1" applyProtection="1">
      <alignment vertical="center"/>
      <protection/>
    </xf>
    <xf numFmtId="0" fontId="12" fillId="0" borderId="0" xfId="0" applyFont="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9" fillId="0" borderId="0" xfId="0" applyFont="1" applyFill="1" applyAlignment="1" applyProtection="1">
      <alignment vertical="center"/>
      <protection/>
    </xf>
    <xf numFmtId="0" fontId="15" fillId="0" borderId="0" xfId="0" applyFont="1" applyAlignment="1">
      <alignment vertical="center"/>
    </xf>
    <xf numFmtId="0" fontId="9"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15" fillId="0" borderId="0" xfId="0" applyFont="1" applyAlignment="1" applyProtection="1">
      <alignment vertical="center"/>
      <protection/>
    </xf>
    <xf numFmtId="0" fontId="9" fillId="0" borderId="17" xfId="0" applyFont="1" applyBorder="1" applyAlignment="1" applyProtection="1">
      <alignment vertical="center"/>
      <protection/>
    </xf>
    <xf numFmtId="180" fontId="9" fillId="0" borderId="1" xfId="0" applyNumberFormat="1" applyFont="1" applyBorder="1" applyAlignment="1" applyProtection="1">
      <alignment vertical="center"/>
      <protection/>
    </xf>
    <xf numFmtId="0" fontId="4" fillId="0" borderId="0" xfId="16" applyAlignment="1" applyProtection="1">
      <alignment vertical="center"/>
      <protection/>
    </xf>
    <xf numFmtId="0" fontId="0" fillId="0" borderId="0" xfId="0" applyAlignment="1" applyProtection="1">
      <alignment vertical="center"/>
      <protection/>
    </xf>
    <xf numFmtId="0" fontId="8" fillId="0" borderId="0" xfId="0" applyFont="1" applyAlignment="1" applyProtection="1">
      <alignment vertical="center"/>
      <protection/>
    </xf>
    <xf numFmtId="0" fontId="8" fillId="0" borderId="0" xfId="0" applyFont="1" applyFill="1" applyAlignment="1" applyProtection="1">
      <alignment vertical="center"/>
      <protection/>
    </xf>
    <xf numFmtId="0" fontId="8" fillId="0" borderId="1" xfId="0"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0" fontId="8" fillId="0" borderId="1" xfId="0" applyFont="1" applyBorder="1" applyAlignment="1">
      <alignment horizontal="center" vertical="center" wrapText="1"/>
    </xf>
    <xf numFmtId="0" fontId="8" fillId="5" borderId="1" xfId="0" applyFont="1" applyFill="1" applyBorder="1" applyAlignment="1" applyProtection="1">
      <alignment horizontal="center" vertical="center" wrapText="1"/>
      <protection/>
    </xf>
    <xf numFmtId="180" fontId="8" fillId="2" borderId="1" xfId="17" applyNumberFormat="1" applyFont="1" applyFill="1" applyBorder="1" applyAlignment="1" applyProtection="1">
      <alignment vertical="center" shrinkToFit="1"/>
      <protection locked="0"/>
    </xf>
    <xf numFmtId="38" fontId="8" fillId="0" borderId="1" xfId="17" applyFont="1" applyBorder="1" applyAlignment="1" applyProtection="1">
      <alignment horizontal="center" vertical="center" shrinkToFit="1"/>
      <protection/>
    </xf>
    <xf numFmtId="177" fontId="8" fillId="0" borderId="1" xfId="17" applyNumberFormat="1" applyFont="1" applyBorder="1" applyAlignment="1" applyProtection="1">
      <alignment vertical="center" shrinkToFit="1"/>
      <protection/>
    </xf>
    <xf numFmtId="177" fontId="8" fillId="0" borderId="1" xfId="17" applyNumberFormat="1" applyFont="1" applyFill="1" applyBorder="1" applyAlignment="1" applyProtection="1">
      <alignment vertical="center" shrinkToFit="1"/>
      <protection/>
    </xf>
    <xf numFmtId="178" fontId="8" fillId="0" borderId="1" xfId="17" applyNumberFormat="1" applyFont="1" applyBorder="1" applyAlignment="1" applyProtection="1">
      <alignment vertical="center" shrinkToFit="1"/>
      <protection/>
    </xf>
    <xf numFmtId="179" fontId="8" fillId="0" borderId="3" xfId="17" applyNumberFormat="1" applyFont="1" applyFill="1" applyBorder="1" applyAlignment="1" applyProtection="1">
      <alignment vertical="center" shrinkToFit="1"/>
      <protection/>
    </xf>
    <xf numFmtId="180" fontId="8" fillId="0" borderId="1" xfId="17" applyNumberFormat="1" applyFont="1" applyBorder="1" applyAlignment="1">
      <alignment vertical="center" shrinkToFit="1"/>
    </xf>
    <xf numFmtId="38" fontId="8" fillId="0" borderId="1" xfId="17" applyFont="1" applyBorder="1" applyAlignment="1">
      <alignment horizontal="center" vertical="center" shrinkToFit="1"/>
    </xf>
    <xf numFmtId="178" fontId="8" fillId="0" borderId="1" xfId="0" applyNumberFormat="1" applyFont="1" applyBorder="1" applyAlignment="1" applyProtection="1">
      <alignment vertical="center" shrinkToFit="1"/>
      <protection/>
    </xf>
    <xf numFmtId="180" fontId="8" fillId="0" borderId="1" xfId="17" applyNumberFormat="1" applyFont="1" applyFill="1" applyBorder="1" applyAlignment="1">
      <alignment vertical="center" shrinkToFit="1"/>
    </xf>
    <xf numFmtId="181" fontId="8" fillId="0" borderId="1" xfId="17" applyNumberFormat="1" applyFont="1" applyBorder="1" applyAlignment="1" applyProtection="1">
      <alignment vertical="center" shrinkToFit="1"/>
      <protection/>
    </xf>
    <xf numFmtId="181" fontId="8" fillId="0" borderId="1" xfId="17" applyNumberFormat="1" applyFont="1" applyFill="1" applyBorder="1" applyAlignment="1" applyProtection="1">
      <alignment vertical="center" shrinkToFit="1"/>
      <protection/>
    </xf>
    <xf numFmtId="186" fontId="8" fillId="0" borderId="1" xfId="17" applyNumberFormat="1" applyFont="1" applyBorder="1" applyAlignment="1" applyProtection="1">
      <alignment vertical="center" shrinkToFit="1"/>
      <protection/>
    </xf>
    <xf numFmtId="182" fontId="8" fillId="0" borderId="1" xfId="17" applyNumberFormat="1" applyFont="1" applyBorder="1" applyAlignment="1">
      <alignment vertical="center" shrinkToFit="1"/>
    </xf>
    <xf numFmtId="180" fontId="9" fillId="2" borderId="1" xfId="17" applyNumberFormat="1"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xf>
    <xf numFmtId="178" fontId="8" fillId="3" borderId="1" xfId="17" applyNumberFormat="1" applyFont="1" applyFill="1" applyBorder="1" applyAlignment="1" applyProtection="1">
      <alignment vertical="center" shrinkToFit="1"/>
      <protection/>
    </xf>
    <xf numFmtId="179" fontId="8" fillId="3" borderId="3" xfId="17" applyNumberFormat="1" applyFont="1" applyFill="1" applyBorder="1" applyAlignment="1" applyProtection="1">
      <alignment vertical="center" shrinkToFit="1"/>
      <protection/>
    </xf>
    <xf numFmtId="180" fontId="8" fillId="3" borderId="6" xfId="17" applyNumberFormat="1" applyFont="1" applyFill="1" applyBorder="1" applyAlignment="1">
      <alignment vertical="center" shrinkToFit="1"/>
    </xf>
    <xf numFmtId="38" fontId="8" fillId="3" borderId="6" xfId="17" applyFont="1" applyFill="1" applyBorder="1" applyAlignment="1">
      <alignment vertical="center" shrinkToFit="1"/>
    </xf>
    <xf numFmtId="178" fontId="8" fillId="3" borderId="3" xfId="17" applyNumberFormat="1" applyFont="1" applyFill="1" applyBorder="1" applyAlignment="1" applyProtection="1">
      <alignment vertical="center" shrinkToFit="1"/>
      <protection/>
    </xf>
    <xf numFmtId="38" fontId="9" fillId="0" borderId="5" xfId="17" applyFont="1" applyBorder="1" applyAlignment="1" applyProtection="1">
      <alignment vertical="center"/>
      <protection/>
    </xf>
    <xf numFmtId="179" fontId="8" fillId="0" borderId="3" xfId="17" applyNumberFormat="1" applyFont="1" applyBorder="1" applyAlignment="1" applyProtection="1">
      <alignment vertical="center" shrinkToFit="1"/>
      <protection/>
    </xf>
    <xf numFmtId="180" fontId="8" fillId="0" borderId="6" xfId="17" applyNumberFormat="1" applyFont="1" applyFill="1" applyBorder="1" applyAlignment="1" applyProtection="1">
      <alignment vertical="center" shrinkToFit="1"/>
      <protection/>
    </xf>
    <xf numFmtId="183" fontId="16" fillId="0" borderId="6" xfId="17" applyNumberFormat="1" applyFont="1" applyBorder="1" applyAlignment="1" applyProtection="1">
      <alignment vertical="center" shrinkToFit="1"/>
      <protection/>
    </xf>
    <xf numFmtId="184" fontId="8" fillId="0" borderId="6" xfId="17" applyNumberFormat="1" applyFont="1" applyBorder="1" applyAlignment="1" applyProtection="1">
      <alignment vertical="center" shrinkToFit="1"/>
      <protection/>
    </xf>
    <xf numFmtId="0" fontId="8" fillId="0" borderId="6" xfId="0" applyFont="1" applyBorder="1" applyAlignment="1" applyProtection="1">
      <alignment vertical="center" shrinkToFit="1"/>
      <protection/>
    </xf>
    <xf numFmtId="0" fontId="16" fillId="0" borderId="6" xfId="0" applyFont="1" applyBorder="1" applyAlignment="1" applyProtection="1">
      <alignment vertical="center" shrinkToFit="1"/>
      <protection/>
    </xf>
    <xf numFmtId="179" fontId="8" fillId="0" borderId="6" xfId="17" applyNumberFormat="1" applyFont="1" applyBorder="1" applyAlignment="1" applyProtection="1">
      <alignment vertical="center" shrinkToFit="1"/>
      <protection/>
    </xf>
    <xf numFmtId="183" fontId="8" fillId="0" borderId="6" xfId="17" applyNumberFormat="1" applyFont="1" applyBorder="1" applyAlignment="1" applyProtection="1">
      <alignment vertical="center" shrinkToFit="1"/>
      <protection/>
    </xf>
    <xf numFmtId="182" fontId="8" fillId="0" borderId="6" xfId="17" applyNumberFormat="1" applyFont="1" applyBorder="1" applyAlignment="1">
      <alignment vertical="center" shrinkToFit="1"/>
    </xf>
    <xf numFmtId="38" fontId="8" fillId="0" borderId="6" xfId="17" applyFont="1" applyBorder="1" applyAlignment="1">
      <alignment vertical="center" shrinkToFit="1"/>
    </xf>
    <xf numFmtId="0" fontId="8" fillId="3" borderId="3" xfId="0" applyFont="1" applyFill="1" applyBorder="1" applyAlignment="1" applyProtection="1">
      <alignment vertical="center"/>
      <protection/>
    </xf>
    <xf numFmtId="0" fontId="8" fillId="3" borderId="7" xfId="0" applyFont="1" applyFill="1" applyBorder="1" applyAlignment="1" applyProtection="1">
      <alignment vertical="center"/>
      <protection/>
    </xf>
    <xf numFmtId="178" fontId="8" fillId="3" borderId="8" xfId="17" applyNumberFormat="1" applyFont="1" applyFill="1" applyBorder="1" applyAlignment="1" applyProtection="1">
      <alignment vertical="center" shrinkToFit="1"/>
      <protection/>
    </xf>
    <xf numFmtId="0" fontId="8" fillId="3" borderId="9" xfId="0" applyFont="1" applyFill="1" applyBorder="1" applyAlignment="1" applyProtection="1">
      <alignment vertical="center" shrinkToFit="1"/>
      <protection/>
    </xf>
    <xf numFmtId="179" fontId="8" fillId="3" borderId="10" xfId="17" applyNumberFormat="1" applyFont="1" applyFill="1" applyBorder="1" applyAlignment="1" applyProtection="1">
      <alignment vertical="center" shrinkToFit="1"/>
      <protection/>
    </xf>
    <xf numFmtId="182" fontId="8" fillId="3" borderId="6" xfId="17" applyNumberFormat="1" applyFont="1" applyFill="1" applyBorder="1" applyAlignment="1">
      <alignment vertical="center" shrinkToFit="1"/>
    </xf>
    <xf numFmtId="178" fontId="8" fillId="3" borderId="10" xfId="17" applyNumberFormat="1" applyFont="1" applyFill="1" applyBorder="1" applyAlignment="1" applyProtection="1">
      <alignment vertical="center" shrinkToFit="1"/>
      <protection/>
    </xf>
    <xf numFmtId="0" fontId="8" fillId="4" borderId="6" xfId="0" applyFont="1" applyFill="1" applyBorder="1" applyAlignment="1" applyProtection="1">
      <alignment vertical="center" shrinkToFit="1"/>
      <protection/>
    </xf>
    <xf numFmtId="0" fontId="8" fillId="4" borderId="12" xfId="0" applyFont="1" applyFill="1" applyBorder="1" applyAlignment="1" applyProtection="1">
      <alignment vertical="center" shrinkToFit="1"/>
      <protection/>
    </xf>
    <xf numFmtId="178" fontId="8" fillId="0" borderId="4" xfId="0" applyNumberFormat="1" applyFont="1" applyFill="1" applyBorder="1" applyAlignment="1" applyProtection="1">
      <alignment vertical="center" shrinkToFit="1"/>
      <protection/>
    </xf>
    <xf numFmtId="0" fontId="8" fillId="4" borderId="13" xfId="0" applyFont="1" applyFill="1" applyBorder="1" applyAlignment="1" applyProtection="1">
      <alignment vertical="center" shrinkToFit="1"/>
      <protection/>
    </xf>
    <xf numFmtId="178" fontId="8" fillId="0" borderId="14" xfId="0" applyNumberFormat="1" applyFont="1" applyFill="1" applyBorder="1" applyAlignment="1" applyProtection="1">
      <alignment vertical="center" shrinkToFit="1"/>
      <protection/>
    </xf>
    <xf numFmtId="179" fontId="8" fillId="0" borderId="4" xfId="17" applyNumberFormat="1" applyFont="1" applyFill="1" applyBorder="1" applyAlignment="1" applyProtection="1">
      <alignment vertical="center" shrinkToFit="1"/>
      <protection/>
    </xf>
    <xf numFmtId="180" fontId="8" fillId="4" borderId="13" xfId="17" applyNumberFormat="1" applyFont="1" applyFill="1" applyBorder="1" applyAlignment="1">
      <alignment vertical="center" shrinkToFit="1"/>
    </xf>
    <xf numFmtId="38" fontId="8" fillId="4" borderId="6" xfId="17" applyFont="1" applyFill="1" applyBorder="1" applyAlignment="1">
      <alignment vertical="center" shrinkToFit="1"/>
    </xf>
    <xf numFmtId="178" fontId="8" fillId="0" borderId="14" xfId="17" applyNumberFormat="1" applyFont="1" applyFill="1" applyBorder="1" applyAlignment="1" applyProtection="1">
      <alignment vertical="center" shrinkToFit="1"/>
      <protection/>
    </xf>
    <xf numFmtId="178" fontId="8" fillId="0" borderId="4" xfId="17" applyNumberFormat="1" applyFont="1" applyFill="1" applyBorder="1" applyAlignment="1" applyProtection="1">
      <alignment vertical="center" shrinkToFit="1"/>
      <protection/>
    </xf>
    <xf numFmtId="0" fontId="8" fillId="0" borderId="0"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vertical="center"/>
      <protection/>
    </xf>
    <xf numFmtId="0" fontId="8" fillId="0" borderId="0" xfId="0" applyFont="1" applyFill="1" applyBorder="1" applyAlignment="1" applyProtection="1">
      <alignment vertical="center"/>
      <protection/>
    </xf>
    <xf numFmtId="179" fontId="8" fillId="0" borderId="0" xfId="0" applyNumberFormat="1" applyFont="1" applyFill="1" applyBorder="1" applyAlignment="1" applyProtection="1">
      <alignment vertical="center"/>
      <protection/>
    </xf>
    <xf numFmtId="179" fontId="8" fillId="0" borderId="0" xfId="17" applyNumberFormat="1" applyFont="1" applyFill="1" applyBorder="1" applyAlignment="1" applyProtection="1">
      <alignment vertical="center"/>
      <protection/>
    </xf>
    <xf numFmtId="179" fontId="8" fillId="0" borderId="4" xfId="0" applyNumberFormat="1"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Font="1" applyAlignment="1">
      <alignment vertical="center"/>
    </xf>
    <xf numFmtId="0" fontId="0" fillId="0" borderId="0" xfId="0" applyFont="1" applyAlignment="1">
      <alignment horizontal="left" vertical="center"/>
    </xf>
    <xf numFmtId="180" fontId="8" fillId="2" borderId="1" xfId="17" applyNumberFormat="1" applyFont="1" applyFill="1" applyBorder="1" applyAlignment="1" applyProtection="1">
      <alignment vertical="center"/>
      <protection locked="0"/>
    </xf>
    <xf numFmtId="38" fontId="8" fillId="0" borderId="1" xfId="17" applyFont="1" applyBorder="1" applyAlignment="1" applyProtection="1">
      <alignment horizontal="center" vertical="center"/>
      <protection/>
    </xf>
    <xf numFmtId="177" fontId="8" fillId="0" borderId="1" xfId="17" applyNumberFormat="1" applyFont="1" applyBorder="1" applyAlignment="1" applyProtection="1">
      <alignment vertical="center"/>
      <protection/>
    </xf>
    <xf numFmtId="180" fontId="8" fillId="0" borderId="6" xfId="17" applyNumberFormat="1" applyFont="1" applyFill="1" applyBorder="1" applyAlignment="1" applyProtection="1">
      <alignment vertical="center"/>
      <protection/>
    </xf>
    <xf numFmtId="183" fontId="16" fillId="0" borderId="6" xfId="17" applyNumberFormat="1" applyFont="1" applyBorder="1" applyAlignment="1" applyProtection="1">
      <alignment vertical="center" wrapText="1" shrinkToFit="1"/>
      <protection/>
    </xf>
    <xf numFmtId="184" fontId="8" fillId="0" borderId="6" xfId="17" applyNumberFormat="1" applyFont="1" applyBorder="1" applyAlignment="1" applyProtection="1">
      <alignment vertical="center"/>
      <protection/>
    </xf>
    <xf numFmtId="179" fontId="8" fillId="0" borderId="3" xfId="17" applyNumberFormat="1" applyFont="1" applyBorder="1" applyAlignment="1" applyProtection="1">
      <alignment vertical="center"/>
      <protection/>
    </xf>
    <xf numFmtId="182" fontId="8" fillId="0" borderId="1" xfId="17" applyNumberFormat="1" applyFont="1" applyBorder="1" applyAlignment="1">
      <alignment vertical="center"/>
    </xf>
    <xf numFmtId="38" fontId="8" fillId="0" borderId="1" xfId="17" applyFont="1" applyBorder="1" applyAlignment="1">
      <alignment horizontal="center" vertical="center"/>
    </xf>
    <xf numFmtId="0" fontId="8" fillId="0" borderId="6" xfId="0" applyFont="1" applyBorder="1" applyAlignment="1" applyProtection="1">
      <alignment vertical="center"/>
      <protection/>
    </xf>
    <xf numFmtId="179" fontId="8" fillId="0" borderId="6" xfId="17" applyNumberFormat="1" applyFont="1" applyBorder="1" applyAlignment="1" applyProtection="1">
      <alignment vertical="center"/>
      <protection/>
    </xf>
    <xf numFmtId="183" fontId="8" fillId="0" borderId="6" xfId="17" applyNumberFormat="1" applyFont="1" applyBorder="1" applyAlignment="1" applyProtection="1">
      <alignment vertical="center"/>
      <protection/>
    </xf>
    <xf numFmtId="184" fontId="8" fillId="0" borderId="6" xfId="17" applyNumberFormat="1" applyFont="1" applyBorder="1" applyAlignment="1" applyProtection="1">
      <alignment vertical="center"/>
      <protection/>
    </xf>
    <xf numFmtId="182" fontId="8" fillId="0" borderId="6" xfId="17" applyNumberFormat="1" applyFont="1" applyBorder="1" applyAlignment="1">
      <alignment vertical="center"/>
    </xf>
    <xf numFmtId="38" fontId="8" fillId="0" borderId="6" xfId="17" applyFont="1" applyBorder="1" applyAlignment="1">
      <alignment vertical="center"/>
    </xf>
    <xf numFmtId="0" fontId="8" fillId="3" borderId="6" xfId="0" applyFont="1" applyFill="1" applyBorder="1" applyAlignment="1" applyProtection="1">
      <alignment vertical="center"/>
      <protection/>
    </xf>
    <xf numFmtId="0" fontId="8" fillId="3" borderId="9" xfId="0" applyFont="1" applyFill="1" applyBorder="1" applyAlignment="1" applyProtection="1">
      <alignment vertical="center"/>
      <protection/>
    </xf>
    <xf numFmtId="179" fontId="8" fillId="3" borderId="10" xfId="17" applyNumberFormat="1" applyFont="1" applyFill="1" applyBorder="1" applyAlignment="1" applyProtection="1">
      <alignment vertical="center"/>
      <protection/>
    </xf>
    <xf numFmtId="182" fontId="8" fillId="3" borderId="6" xfId="17" applyNumberFormat="1" applyFont="1" applyFill="1" applyBorder="1" applyAlignment="1">
      <alignment vertical="center"/>
    </xf>
    <xf numFmtId="38" fontId="8" fillId="3" borderId="6" xfId="17" applyFont="1" applyFill="1" applyBorder="1" applyAlignment="1">
      <alignment vertical="center"/>
    </xf>
    <xf numFmtId="0" fontId="8" fillId="4" borderId="6" xfId="0" applyFont="1" applyFill="1" applyBorder="1" applyAlignment="1" applyProtection="1">
      <alignment vertical="center"/>
      <protection/>
    </xf>
    <xf numFmtId="0" fontId="8" fillId="4" borderId="12" xfId="0" applyFont="1" applyFill="1" applyBorder="1" applyAlignment="1" applyProtection="1">
      <alignment vertical="center"/>
      <protection/>
    </xf>
    <xf numFmtId="0" fontId="8" fillId="4" borderId="13" xfId="0" applyFont="1" applyFill="1" applyBorder="1" applyAlignment="1" applyProtection="1">
      <alignment vertical="center"/>
      <protection/>
    </xf>
    <xf numFmtId="179" fontId="8" fillId="0" borderId="4" xfId="17" applyNumberFormat="1" applyFont="1" applyFill="1" applyBorder="1" applyAlignment="1" applyProtection="1">
      <alignment vertical="center"/>
      <protection/>
    </xf>
    <xf numFmtId="180" fontId="8" fillId="4" borderId="13" xfId="17" applyNumberFormat="1" applyFont="1" applyFill="1" applyBorder="1" applyAlignment="1">
      <alignment vertical="center"/>
    </xf>
    <xf numFmtId="38" fontId="8" fillId="4" borderId="6" xfId="17" applyFont="1" applyFill="1" applyBorder="1" applyAlignment="1">
      <alignment vertical="center"/>
    </xf>
    <xf numFmtId="0" fontId="0" fillId="0" borderId="1" xfId="0" applyBorder="1" applyAlignment="1">
      <alignment horizontal="center" vertical="center" shrinkToFit="1"/>
    </xf>
    <xf numFmtId="0" fontId="0" fillId="0" borderId="1" xfId="0" applyBorder="1" applyAlignment="1">
      <alignment horizontal="right" vertical="center" shrinkToFit="1"/>
    </xf>
    <xf numFmtId="38" fontId="0" fillId="0" borderId="1" xfId="17" applyBorder="1" applyAlignment="1">
      <alignment horizontal="right" vertical="center" shrinkToFit="1"/>
    </xf>
    <xf numFmtId="0" fontId="9" fillId="0" borderId="10"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8"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8" xfId="0" applyFont="1" applyBorder="1" applyAlignment="1" applyProtection="1">
      <alignment horizontal="center" vertical="center" textRotation="255" shrinkToFit="1"/>
      <protection/>
    </xf>
    <xf numFmtId="0" fontId="9" fillId="0" borderId="23" xfId="0" applyFont="1" applyBorder="1" applyAlignment="1" applyProtection="1">
      <alignment horizontal="center" vertical="center" textRotation="255" shrinkToFit="1"/>
      <protection/>
    </xf>
    <xf numFmtId="0" fontId="9" fillId="0" borderId="22" xfId="0" applyFont="1" applyBorder="1" applyAlignment="1" applyProtection="1">
      <alignment horizontal="center" vertical="center" textRotation="255" shrinkToFit="1"/>
      <protection/>
    </xf>
    <xf numFmtId="0" fontId="9" fillId="0" borderId="3" xfId="0" applyFont="1" applyBorder="1" applyAlignment="1" applyProtection="1">
      <alignment horizontal="left" vertical="center" shrinkToFit="1"/>
      <protection/>
    </xf>
    <xf numFmtId="0" fontId="9" fillId="0" borderId="7" xfId="0" applyFont="1" applyBorder="1" applyAlignment="1" applyProtection="1">
      <alignment horizontal="left" vertical="center" shrinkToFit="1"/>
      <protection/>
    </xf>
    <xf numFmtId="0" fontId="9" fillId="0" borderId="21" xfId="0" applyFont="1" applyBorder="1" applyAlignment="1" applyProtection="1">
      <alignment horizontal="left" vertical="center" shrinkToFit="1"/>
      <protection/>
    </xf>
    <xf numFmtId="0" fontId="9" fillId="0" borderId="3"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0" fontId="9" fillId="0" borderId="21" xfId="0" applyFont="1" applyBorder="1" applyAlignment="1" applyProtection="1">
      <alignment horizontal="left" vertical="center"/>
      <protection/>
    </xf>
    <xf numFmtId="0" fontId="9" fillId="0" borderId="8" xfId="0" applyFont="1" applyBorder="1" applyAlignment="1" applyProtection="1">
      <alignment vertical="center" shrinkToFit="1"/>
      <protection/>
    </xf>
    <xf numFmtId="0" fontId="9" fillId="0" borderId="22" xfId="0" applyFont="1" applyBorder="1" applyAlignment="1" applyProtection="1">
      <alignment vertical="center" shrinkToFit="1"/>
      <protection/>
    </xf>
    <xf numFmtId="0" fontId="9" fillId="0" borderId="8"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2" xfId="0" applyFont="1" applyBorder="1" applyAlignment="1" applyProtection="1">
      <alignment vertical="center"/>
      <protection/>
    </xf>
    <xf numFmtId="0" fontId="9" fillId="0" borderId="10"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wrapText="1"/>
      <protection/>
    </xf>
    <xf numFmtId="0" fontId="9" fillId="0" borderId="28"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2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12" fillId="0" borderId="8" xfId="0" applyFont="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9" fillId="0" borderId="30" xfId="0" applyFont="1" applyBorder="1" applyAlignment="1" applyProtection="1">
      <alignment horizontal="center" vertical="center" wrapText="1"/>
      <protection/>
    </xf>
    <xf numFmtId="0" fontId="9" fillId="0" borderId="8" xfId="0" applyFont="1" applyBorder="1" applyAlignment="1" applyProtection="1">
      <alignment horizontal="center" vertical="center" shrinkToFit="1"/>
      <protection/>
    </xf>
    <xf numFmtId="0" fontId="9" fillId="0" borderId="22" xfId="0" applyFont="1" applyBorder="1" applyAlignment="1" applyProtection="1">
      <alignment horizontal="center" vertical="center" shrinkToFit="1"/>
      <protection/>
    </xf>
    <xf numFmtId="0" fontId="0" fillId="0" borderId="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Border="1" applyAlignment="1">
      <alignment horizontal="center" vertical="center" wrapText="1"/>
    </xf>
    <xf numFmtId="0" fontId="0" fillId="0" borderId="21" xfId="0" applyBorder="1" applyAlignment="1">
      <alignment horizontal="center" vertical="center" wrapText="1"/>
    </xf>
    <xf numFmtId="38" fontId="9" fillId="2" borderId="3" xfId="17" applyFont="1" applyFill="1" applyBorder="1" applyAlignment="1" applyProtection="1">
      <alignment horizontal="left" vertical="center" shrinkToFit="1"/>
      <protection locked="0"/>
    </xf>
    <xf numFmtId="38" fontId="9" fillId="2" borderId="21" xfId="17" applyFont="1" applyFill="1" applyBorder="1" applyAlignment="1" applyProtection="1">
      <alignment horizontal="left" vertical="center" shrinkToFit="1"/>
      <protection locked="0"/>
    </xf>
    <xf numFmtId="0" fontId="9" fillId="3" borderId="3" xfId="0" applyFont="1" applyFill="1" applyBorder="1" applyAlignment="1" applyProtection="1">
      <alignment horizontal="center" vertical="center"/>
      <protection/>
    </xf>
    <xf numFmtId="0" fontId="9" fillId="3" borderId="7"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0" fontId="9" fillId="0" borderId="8" xfId="0" applyFont="1" applyBorder="1" applyAlignment="1" applyProtection="1">
      <alignment vertical="center" wrapText="1" shrinkToFit="1"/>
      <protection/>
    </xf>
    <xf numFmtId="0" fontId="9" fillId="0" borderId="22" xfId="0" applyFont="1" applyBorder="1" applyAlignment="1" applyProtection="1">
      <alignment vertical="center" wrapText="1" shrinkToFit="1"/>
      <protection/>
    </xf>
    <xf numFmtId="0" fontId="9" fillId="0" borderId="32"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3"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0" borderId="34" xfId="0" applyFont="1" applyFill="1" applyBorder="1" applyAlignment="1" applyProtection="1">
      <alignment horizontal="center" vertical="center"/>
      <protection/>
    </xf>
    <xf numFmtId="0" fontId="9" fillId="4" borderId="3" xfId="0" applyFont="1" applyFill="1" applyBorder="1" applyAlignment="1" applyProtection="1">
      <alignment horizontal="center" vertical="center"/>
      <protection/>
    </xf>
    <xf numFmtId="0" fontId="9" fillId="4" borderId="7" xfId="0" applyFont="1" applyFill="1" applyBorder="1" applyAlignment="1" applyProtection="1">
      <alignment horizontal="center" vertical="center"/>
      <protection/>
    </xf>
    <xf numFmtId="0" fontId="9" fillId="4" borderId="21" xfId="0" applyFont="1" applyFill="1" applyBorder="1" applyAlignment="1" applyProtection="1">
      <alignment horizontal="center" vertical="center"/>
      <protection/>
    </xf>
    <xf numFmtId="0" fontId="9" fillId="4" borderId="31" xfId="0" applyFont="1" applyFill="1" applyBorder="1" applyAlignment="1" applyProtection="1">
      <alignment horizontal="center" vertical="center"/>
      <protection/>
    </xf>
    <xf numFmtId="0" fontId="14" fillId="0" borderId="8" xfId="0" applyFont="1" applyFill="1" applyBorder="1" applyAlignment="1" applyProtection="1">
      <alignment horizontal="center" vertical="center" wrapText="1" shrinkToFit="1"/>
      <protection/>
    </xf>
    <xf numFmtId="0" fontId="14" fillId="0" borderId="22" xfId="0" applyFont="1" applyFill="1" applyBorder="1" applyAlignment="1" applyProtection="1">
      <alignment horizontal="center" vertical="center" wrapText="1" shrinkToFit="1"/>
      <protection/>
    </xf>
    <xf numFmtId="0" fontId="9" fillId="0" borderId="3" xfId="0" applyFont="1" applyBorder="1" applyAlignment="1" applyProtection="1">
      <alignment horizontal="center" vertical="center" wrapText="1" shrinkToFit="1"/>
      <protection/>
    </xf>
    <xf numFmtId="0" fontId="9" fillId="0" borderId="21" xfId="0" applyFont="1" applyBorder="1" applyAlignment="1" applyProtection="1">
      <alignment horizontal="center" vertical="center" wrapText="1" shrinkToFit="1"/>
      <protection/>
    </xf>
    <xf numFmtId="0" fontId="14" fillId="0" borderId="8" xfId="0" applyFont="1" applyFill="1" applyBorder="1" applyAlignment="1" applyProtection="1">
      <alignment vertical="center" wrapText="1"/>
      <protection/>
    </xf>
    <xf numFmtId="0" fontId="14" fillId="0" borderId="22" xfId="0" applyFont="1" applyFill="1" applyBorder="1" applyAlignment="1" applyProtection="1">
      <alignment vertical="center" wrapText="1"/>
      <protection/>
    </xf>
    <xf numFmtId="185" fontId="9" fillId="2" borderId="8" xfId="0" applyNumberFormat="1" applyFont="1" applyFill="1" applyBorder="1" applyAlignment="1" applyProtection="1">
      <alignment vertical="center"/>
      <protection locked="0"/>
    </xf>
    <xf numFmtId="185" fontId="9" fillId="2" borderId="22" xfId="0" applyNumberFormat="1" applyFont="1" applyFill="1" applyBorder="1" applyAlignment="1" applyProtection="1">
      <alignment vertical="center"/>
      <protection locked="0"/>
    </xf>
    <xf numFmtId="0" fontId="0" fillId="0" borderId="32"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8" xfId="0" applyFont="1" applyBorder="1" applyAlignment="1" applyProtection="1">
      <alignment horizontal="center" vertical="center" wrapText="1"/>
      <protection/>
    </xf>
    <xf numFmtId="0" fontId="8" fillId="0" borderId="22"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9" xfId="0" applyFont="1" applyBorder="1" applyAlignment="1" applyProtection="1">
      <alignment horizontal="center" vertical="center" wrapText="1"/>
      <protection/>
    </xf>
    <xf numFmtId="0" fontId="8" fillId="5" borderId="1" xfId="0" applyFont="1" applyFill="1" applyBorder="1" applyAlignment="1" applyProtection="1">
      <alignment horizontal="center" vertical="center"/>
      <protection/>
    </xf>
    <xf numFmtId="0" fontId="8" fillId="0" borderId="8" xfId="0" applyFont="1" applyBorder="1" applyAlignment="1" applyProtection="1">
      <alignment horizontal="center" vertical="center" textRotation="255" shrinkToFit="1"/>
      <protection/>
    </xf>
    <xf numFmtId="0" fontId="8" fillId="0" borderId="23" xfId="0" applyFont="1" applyBorder="1" applyAlignment="1" applyProtection="1">
      <alignment horizontal="center" vertical="center" textRotation="255" shrinkToFit="1"/>
      <protection/>
    </xf>
    <xf numFmtId="0" fontId="8" fillId="0" borderId="1" xfId="0" applyFont="1" applyBorder="1" applyAlignment="1" applyProtection="1">
      <alignment horizontal="left" vertical="center" shrinkToFit="1"/>
      <protection/>
    </xf>
    <xf numFmtId="0" fontId="8" fillId="0" borderId="1" xfId="0" applyFont="1" applyBorder="1" applyAlignment="1" applyProtection="1">
      <alignment horizontal="left" vertical="center"/>
      <protection/>
    </xf>
    <xf numFmtId="0" fontId="8" fillId="0" borderId="8" xfId="0" applyFont="1" applyBorder="1" applyAlignment="1" applyProtection="1">
      <alignment vertical="center" shrinkToFit="1"/>
      <protection/>
    </xf>
    <xf numFmtId="0" fontId="8" fillId="0" borderId="22" xfId="0" applyFont="1" applyBorder="1" applyAlignment="1" applyProtection="1">
      <alignment vertical="center" shrinkToFit="1"/>
      <protection/>
    </xf>
    <xf numFmtId="0" fontId="8" fillId="0" borderId="8" xfId="0" applyFont="1" applyBorder="1" applyAlignment="1" applyProtection="1">
      <alignment vertical="center"/>
      <protection/>
    </xf>
    <xf numFmtId="0" fontId="8" fillId="0" borderId="23" xfId="0" applyFont="1" applyBorder="1" applyAlignment="1" applyProtection="1">
      <alignment vertical="center"/>
      <protection/>
    </xf>
    <xf numFmtId="0" fontId="8" fillId="0" borderId="22" xfId="0" applyFont="1" applyBorder="1" applyAlignment="1" applyProtection="1">
      <alignment vertical="center"/>
      <protection/>
    </xf>
    <xf numFmtId="0" fontId="8" fillId="0" borderId="8" xfId="0" applyFont="1" applyBorder="1" applyAlignment="1" applyProtection="1">
      <alignment horizontal="center" vertical="center" shrinkToFit="1"/>
      <protection/>
    </xf>
    <xf numFmtId="0" fontId="8" fillId="0" borderId="22" xfId="0" applyFont="1" applyBorder="1" applyAlignment="1" applyProtection="1">
      <alignment horizontal="center" vertical="center" shrinkToFit="1"/>
      <protection/>
    </xf>
    <xf numFmtId="0" fontId="8" fillId="0" borderId="3" xfId="0" applyFont="1" applyBorder="1" applyAlignment="1" applyProtection="1">
      <alignment horizontal="left" vertical="center" shrinkToFit="1"/>
      <protection/>
    </xf>
    <xf numFmtId="0" fontId="8" fillId="0" borderId="21" xfId="0" applyFont="1" applyBorder="1" applyAlignment="1" applyProtection="1">
      <alignment horizontal="left" vertical="center" shrinkToFit="1"/>
      <protection/>
    </xf>
    <xf numFmtId="0" fontId="9" fillId="0" borderId="1" xfId="0" applyFont="1" applyBorder="1" applyAlignment="1" applyProtection="1">
      <alignment horizontal="center" vertical="center" wrapText="1"/>
      <protection/>
    </xf>
    <xf numFmtId="0" fontId="9" fillId="0" borderId="3" xfId="0" applyFont="1" applyBorder="1" applyAlignment="1" applyProtection="1">
      <alignment horizontal="center" vertical="center" wrapText="1"/>
      <protection/>
    </xf>
    <xf numFmtId="0" fontId="9" fillId="0" borderId="38" xfId="0" applyFont="1" applyBorder="1" applyAlignment="1" applyProtection="1">
      <alignment horizontal="center" vertical="center" wrapText="1"/>
      <protection/>
    </xf>
    <xf numFmtId="0" fontId="9" fillId="0" borderId="5"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12" fillId="0" borderId="1"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2" borderId="3" xfId="0" applyFont="1" applyFill="1" applyBorder="1" applyAlignment="1" applyProtection="1">
      <alignment horizontal="left" vertical="center" shrinkToFit="1"/>
      <protection locked="0"/>
    </xf>
    <xf numFmtId="0" fontId="9" fillId="2" borderId="21" xfId="0" applyFont="1" applyFill="1" applyBorder="1" applyAlignment="1" applyProtection="1">
      <alignment horizontal="left" vertical="center" shrinkToFit="1"/>
      <protection locked="0"/>
    </xf>
    <xf numFmtId="0" fontId="8" fillId="3" borderId="3" xfId="0" applyFont="1" applyFill="1" applyBorder="1" applyAlignment="1" applyProtection="1">
      <alignment horizontal="center" vertical="center"/>
      <protection/>
    </xf>
    <xf numFmtId="0" fontId="8" fillId="3" borderId="7" xfId="0" applyFont="1" applyFill="1" applyBorder="1" applyAlignment="1" applyProtection="1">
      <alignment horizontal="center" vertical="center"/>
      <protection/>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 xfId="0" applyBorder="1" applyAlignment="1">
      <alignment horizontal="center" vertical="center" wrapText="1"/>
    </xf>
    <xf numFmtId="0" fontId="8" fillId="0" borderId="22" xfId="0" applyFont="1" applyBorder="1" applyAlignment="1" applyProtection="1">
      <alignment horizontal="center" vertical="center" textRotation="255" shrinkToFit="1"/>
      <protection/>
    </xf>
    <xf numFmtId="0" fontId="8" fillId="3" borderId="1" xfId="0" applyFont="1" applyFill="1" applyBorder="1" applyAlignment="1" applyProtection="1">
      <alignment horizontal="center" vertical="center"/>
      <protection/>
    </xf>
    <xf numFmtId="0" fontId="8" fillId="0" borderId="8" xfId="0" applyFont="1" applyBorder="1" applyAlignment="1" applyProtection="1">
      <alignment vertical="center" wrapText="1" shrinkToFit="1"/>
      <protection/>
    </xf>
    <xf numFmtId="0" fontId="8" fillId="4" borderId="1" xfId="0" applyFont="1" applyFill="1" applyBorder="1" applyAlignment="1" applyProtection="1">
      <alignment horizontal="center" vertical="center"/>
      <protection/>
    </xf>
    <xf numFmtId="0" fontId="9" fillId="0" borderId="1" xfId="0" applyFont="1" applyBorder="1" applyAlignment="1" applyProtection="1">
      <alignment horizontal="center" vertical="center"/>
      <protection/>
    </xf>
    <xf numFmtId="0" fontId="9" fillId="0" borderId="39" xfId="0" applyFont="1" applyFill="1" applyBorder="1" applyAlignment="1" applyProtection="1">
      <alignment horizontal="center" vertical="center"/>
      <protection/>
    </xf>
    <xf numFmtId="0" fontId="8" fillId="4" borderId="3" xfId="0"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wrapText="1" shrinkToFit="1"/>
      <protection/>
    </xf>
    <xf numFmtId="0" fontId="8" fillId="0" borderId="1" xfId="0" applyFont="1" applyBorder="1" applyAlignment="1" applyProtection="1">
      <alignment horizontal="center" vertical="center" wrapText="1" shrinkToFit="1"/>
      <protection/>
    </xf>
    <xf numFmtId="0" fontId="14" fillId="0" borderId="1" xfId="0" applyFont="1" applyFill="1" applyBorder="1" applyAlignment="1" applyProtection="1">
      <alignment vertical="center" wrapText="1"/>
      <protection/>
    </xf>
    <xf numFmtId="0" fontId="14" fillId="0" borderId="1" xfId="0" applyFont="1" applyBorder="1" applyAlignment="1" applyProtection="1">
      <alignment vertical="center" wrapText="1"/>
      <protection/>
    </xf>
    <xf numFmtId="185" fontId="9" fillId="2" borderId="1" xfId="0" applyNumberFormat="1" applyFont="1" applyFill="1" applyBorder="1" applyAlignment="1" applyProtection="1">
      <alignment vertical="center"/>
      <protection locked="0"/>
    </xf>
    <xf numFmtId="0" fontId="9" fillId="0" borderId="1" xfId="0" applyFont="1" applyBorder="1" applyAlignment="1" applyProtection="1">
      <alignment horizontal="left" vertical="center" shrinkToFit="1"/>
      <protection/>
    </xf>
    <xf numFmtId="0" fontId="9" fillId="0" borderId="1" xfId="0" applyFont="1" applyBorder="1" applyAlignment="1" applyProtection="1">
      <alignment horizontal="left" vertical="center"/>
      <protection/>
    </xf>
    <xf numFmtId="0" fontId="26" fillId="0" borderId="0" xfId="0" applyFont="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6</xdr:col>
      <xdr:colOff>628650</xdr:colOff>
      <xdr:row>1</xdr:row>
      <xdr:rowOff>161925</xdr:rowOff>
    </xdr:to>
    <xdr:sp>
      <xdr:nvSpPr>
        <xdr:cNvPr id="1" name="Rectangle 1"/>
        <xdr:cNvSpPr>
          <a:spLocks/>
        </xdr:cNvSpPr>
      </xdr:nvSpPr>
      <xdr:spPr>
        <a:xfrm>
          <a:off x="19050" y="28575"/>
          <a:ext cx="5524500" cy="304800"/>
        </a:xfrm>
        <a:prstGeom prst="rect">
          <a:avLst/>
        </a:prstGeom>
        <a:solidFill>
          <a:srgbClr val="FFFFFF"/>
        </a:solidFill>
        <a:ln w="38100" cmpd="dbl">
          <a:solidFill>
            <a:srgbClr val="000000"/>
          </a:solidFill>
          <a:headEnd type="none"/>
          <a:tailEnd type="none"/>
        </a:ln>
      </xdr:spPr>
      <xdr:txBody>
        <a:bodyPr vertOverflow="clip" wrap="square" anchor="ctr"/>
        <a:p>
          <a:pPr algn="ctr">
            <a:defRPr/>
          </a:pPr>
          <a:r>
            <a:rPr lang="en-US" cap="none" sz="1400" b="0" i="0" u="none" baseline="0">
              <a:latin typeface="ＭＳ Ｐゴシック"/>
              <a:ea typeface="ＭＳ Ｐゴシック"/>
              <a:cs typeface="ＭＳ Ｐゴシック"/>
            </a:rPr>
            <a:t>記載例：温室効果ガスの削減量を示す添付書類の例（様式任意）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25</xdr:row>
      <xdr:rowOff>0</xdr:rowOff>
    </xdr:from>
    <xdr:to>
      <xdr:col>12</xdr:col>
      <xdr:colOff>219075</xdr:colOff>
      <xdr:row>25</xdr:row>
      <xdr:rowOff>180975</xdr:rowOff>
    </xdr:to>
    <xdr:sp>
      <xdr:nvSpPr>
        <xdr:cNvPr id="1" name="Rectangle 1"/>
        <xdr:cNvSpPr>
          <a:spLocks/>
        </xdr:cNvSpPr>
      </xdr:nvSpPr>
      <xdr:spPr>
        <a:xfrm>
          <a:off x="8896350" y="5153025"/>
          <a:ext cx="21907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a:t>
          </a:r>
        </a:p>
      </xdr:txBody>
    </xdr:sp>
    <xdr:clientData/>
  </xdr:twoCellAnchor>
  <xdr:twoCellAnchor>
    <xdr:from>
      <xdr:col>12</xdr:col>
      <xdr:colOff>0</xdr:colOff>
      <xdr:row>26</xdr:row>
      <xdr:rowOff>0</xdr:rowOff>
    </xdr:from>
    <xdr:to>
      <xdr:col>12</xdr:col>
      <xdr:colOff>219075</xdr:colOff>
      <xdr:row>26</xdr:row>
      <xdr:rowOff>180975</xdr:rowOff>
    </xdr:to>
    <xdr:sp>
      <xdr:nvSpPr>
        <xdr:cNvPr id="2" name="Rectangle 2"/>
        <xdr:cNvSpPr>
          <a:spLocks/>
        </xdr:cNvSpPr>
      </xdr:nvSpPr>
      <xdr:spPr>
        <a:xfrm>
          <a:off x="8896350" y="5343525"/>
          <a:ext cx="21907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a:t>
          </a:r>
        </a:p>
      </xdr:txBody>
    </xdr:sp>
    <xdr:clientData/>
  </xdr:twoCellAnchor>
  <xdr:twoCellAnchor>
    <xdr:from>
      <xdr:col>14</xdr:col>
      <xdr:colOff>85725</xdr:colOff>
      <xdr:row>8</xdr:row>
      <xdr:rowOff>9525</xdr:rowOff>
    </xdr:from>
    <xdr:to>
      <xdr:col>18</xdr:col>
      <xdr:colOff>409575</xdr:colOff>
      <xdr:row>11</xdr:row>
      <xdr:rowOff>171450</xdr:rowOff>
    </xdr:to>
    <xdr:sp>
      <xdr:nvSpPr>
        <xdr:cNvPr id="3" name="TextBox 18"/>
        <xdr:cNvSpPr txBox="1">
          <a:spLocks noChangeArrowheads="1"/>
        </xdr:cNvSpPr>
      </xdr:nvSpPr>
      <xdr:spPr>
        <a:xfrm>
          <a:off x="10410825" y="1924050"/>
          <a:ext cx="30670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データ凡例
　　　　　のセル：該当する場合のみ、手入力または選択するセル
それ以外のセル：入力不要</a:t>
          </a:r>
        </a:p>
      </xdr:txBody>
    </xdr:sp>
    <xdr:clientData/>
  </xdr:twoCellAnchor>
  <xdr:twoCellAnchor>
    <xdr:from>
      <xdr:col>14</xdr:col>
      <xdr:colOff>257175</xdr:colOff>
      <xdr:row>9</xdr:row>
      <xdr:rowOff>0</xdr:rowOff>
    </xdr:from>
    <xdr:to>
      <xdr:col>14</xdr:col>
      <xdr:colOff>533400</xdr:colOff>
      <xdr:row>9</xdr:row>
      <xdr:rowOff>152400</xdr:rowOff>
    </xdr:to>
    <xdr:sp>
      <xdr:nvSpPr>
        <xdr:cNvPr id="4" name="Rectangle 21"/>
        <xdr:cNvSpPr>
          <a:spLocks/>
        </xdr:cNvSpPr>
      </xdr:nvSpPr>
      <xdr:spPr>
        <a:xfrm>
          <a:off x="10582275" y="2105025"/>
          <a:ext cx="276225" cy="15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657225</xdr:colOff>
      <xdr:row>21</xdr:row>
      <xdr:rowOff>114300</xdr:rowOff>
    </xdr:from>
    <xdr:to>
      <xdr:col>22</xdr:col>
      <xdr:colOff>209550</xdr:colOff>
      <xdr:row>22</xdr:row>
      <xdr:rowOff>171450</xdr:rowOff>
    </xdr:to>
    <xdr:sp>
      <xdr:nvSpPr>
        <xdr:cNvPr id="5" name="TextBox 36"/>
        <xdr:cNvSpPr txBox="1">
          <a:spLocks noChangeArrowheads="1"/>
        </xdr:cNvSpPr>
      </xdr:nvSpPr>
      <xdr:spPr>
        <a:xfrm>
          <a:off x="10982325" y="4505325"/>
          <a:ext cx="50387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※複数の都市ガス事業者と契約している場合はこちらを参照してください。</a:t>
          </a:r>
        </a:p>
      </xdr:txBody>
    </xdr:sp>
    <xdr:clientData/>
  </xdr:twoCellAnchor>
  <xdr:twoCellAnchor>
    <xdr:from>
      <xdr:col>21</xdr:col>
      <xdr:colOff>0</xdr:colOff>
      <xdr:row>36</xdr:row>
      <xdr:rowOff>123825</xdr:rowOff>
    </xdr:from>
    <xdr:to>
      <xdr:col>22</xdr:col>
      <xdr:colOff>104775</xdr:colOff>
      <xdr:row>38</xdr:row>
      <xdr:rowOff>76200</xdr:rowOff>
    </xdr:to>
    <xdr:sp>
      <xdr:nvSpPr>
        <xdr:cNvPr id="6" name="Oval 37"/>
        <xdr:cNvSpPr>
          <a:spLocks/>
        </xdr:cNvSpPr>
      </xdr:nvSpPr>
      <xdr:spPr>
        <a:xfrm>
          <a:off x="15125700" y="7372350"/>
          <a:ext cx="790575" cy="3333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39</xdr:row>
      <xdr:rowOff>9525</xdr:rowOff>
    </xdr:from>
    <xdr:to>
      <xdr:col>23</xdr:col>
      <xdr:colOff>638175</xdr:colOff>
      <xdr:row>43</xdr:row>
      <xdr:rowOff>219075</xdr:rowOff>
    </xdr:to>
    <xdr:sp>
      <xdr:nvSpPr>
        <xdr:cNvPr id="7" name="TextBox 38"/>
        <xdr:cNvSpPr txBox="1">
          <a:spLocks noChangeArrowheads="1"/>
        </xdr:cNvSpPr>
      </xdr:nvSpPr>
      <xdr:spPr>
        <a:xfrm>
          <a:off x="10934700" y="7829550"/>
          <a:ext cx="62007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※複数の都市ガス事業者と契約している場合
１　購入する都市ガス事業者ごと、事業所の都市ガス使用量の合計を算定してください。
２　「１」で算定した値を、購入する都市ガス事業者ごと、「事業所使用量」欄に入力してください。
３　○の値が、全事業所の加重平均発熱量となるため、左の表の単位発熱量「Ｃ」①の欄に入力してください。
※この方法の他、別紙２をガス事業者ごと複数枚提出する方法でも可とします。</a:t>
          </a:r>
        </a:p>
      </xdr:txBody>
    </xdr:sp>
    <xdr:clientData/>
  </xdr:twoCellAnchor>
  <xdr:twoCellAnchor>
    <xdr:from>
      <xdr:col>14</xdr:col>
      <xdr:colOff>657225</xdr:colOff>
      <xdr:row>45</xdr:row>
      <xdr:rowOff>114300</xdr:rowOff>
    </xdr:from>
    <xdr:to>
      <xdr:col>22</xdr:col>
      <xdr:colOff>209550</xdr:colOff>
      <xdr:row>46</xdr:row>
      <xdr:rowOff>171450</xdr:rowOff>
    </xdr:to>
    <xdr:sp>
      <xdr:nvSpPr>
        <xdr:cNvPr id="8" name="TextBox 39"/>
        <xdr:cNvSpPr txBox="1">
          <a:spLocks noChangeArrowheads="1"/>
        </xdr:cNvSpPr>
      </xdr:nvSpPr>
      <xdr:spPr>
        <a:xfrm>
          <a:off x="10982325" y="9667875"/>
          <a:ext cx="50387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※複数の電気事業者と契約している場合はこちらを参照してください。</a:t>
          </a:r>
        </a:p>
      </xdr:txBody>
    </xdr:sp>
    <xdr:clientData/>
  </xdr:twoCellAnchor>
  <xdr:twoCellAnchor>
    <xdr:from>
      <xdr:col>21</xdr:col>
      <xdr:colOff>0</xdr:colOff>
      <xdr:row>60</xdr:row>
      <xdr:rowOff>123825</xdr:rowOff>
    </xdr:from>
    <xdr:to>
      <xdr:col>22</xdr:col>
      <xdr:colOff>104775</xdr:colOff>
      <xdr:row>62</xdr:row>
      <xdr:rowOff>76200</xdr:rowOff>
    </xdr:to>
    <xdr:sp>
      <xdr:nvSpPr>
        <xdr:cNvPr id="9" name="Oval 40"/>
        <xdr:cNvSpPr>
          <a:spLocks/>
        </xdr:cNvSpPr>
      </xdr:nvSpPr>
      <xdr:spPr>
        <a:xfrm>
          <a:off x="15125700" y="12268200"/>
          <a:ext cx="7905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63</xdr:row>
      <xdr:rowOff>9525</xdr:rowOff>
    </xdr:from>
    <xdr:to>
      <xdr:col>23</xdr:col>
      <xdr:colOff>638175</xdr:colOff>
      <xdr:row>70</xdr:row>
      <xdr:rowOff>85725</xdr:rowOff>
    </xdr:to>
    <xdr:sp>
      <xdr:nvSpPr>
        <xdr:cNvPr id="10" name="TextBox 41"/>
        <xdr:cNvSpPr txBox="1">
          <a:spLocks noChangeArrowheads="1"/>
        </xdr:cNvSpPr>
      </xdr:nvSpPr>
      <xdr:spPr>
        <a:xfrm>
          <a:off x="10934700" y="12668250"/>
          <a:ext cx="620077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※複数の電気事業者と契約している場合
１　購入する電気事業者ごと、事業所の電気使用量の合計を算定してください。
２　「１」で算定した値を、購入する電気事業者ごと、「事業所使用量」欄に入力してください。
３　○の値が、全事業所の加重平均排出係数となるため、左の表の電気の排出係数（買電に係るもの）②の欄に入力してください。
※この方法の他、別紙２を電力事業者ごと複数枚提出する方法でも可とします。</a:t>
          </a:r>
        </a:p>
      </xdr:txBody>
    </xdr:sp>
    <xdr:clientData/>
  </xdr:twoCellAnchor>
  <xdr:twoCellAnchor>
    <xdr:from>
      <xdr:col>21</xdr:col>
      <xdr:colOff>0</xdr:colOff>
      <xdr:row>60</xdr:row>
      <xdr:rowOff>123825</xdr:rowOff>
    </xdr:from>
    <xdr:to>
      <xdr:col>22</xdr:col>
      <xdr:colOff>104775</xdr:colOff>
      <xdr:row>62</xdr:row>
      <xdr:rowOff>76200</xdr:rowOff>
    </xdr:to>
    <xdr:sp>
      <xdr:nvSpPr>
        <xdr:cNvPr id="11" name="Oval 42"/>
        <xdr:cNvSpPr>
          <a:spLocks/>
        </xdr:cNvSpPr>
      </xdr:nvSpPr>
      <xdr:spPr>
        <a:xfrm>
          <a:off x="15125700" y="12268200"/>
          <a:ext cx="7905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25</xdr:row>
      <xdr:rowOff>0</xdr:rowOff>
    </xdr:from>
    <xdr:to>
      <xdr:col>12</xdr:col>
      <xdr:colOff>219075</xdr:colOff>
      <xdr:row>25</xdr:row>
      <xdr:rowOff>180975</xdr:rowOff>
    </xdr:to>
    <xdr:sp>
      <xdr:nvSpPr>
        <xdr:cNvPr id="1" name="Rectangle 1"/>
        <xdr:cNvSpPr>
          <a:spLocks/>
        </xdr:cNvSpPr>
      </xdr:nvSpPr>
      <xdr:spPr>
        <a:xfrm>
          <a:off x="8391525" y="5438775"/>
          <a:ext cx="21907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a:t>
          </a:r>
        </a:p>
      </xdr:txBody>
    </xdr:sp>
    <xdr:clientData/>
  </xdr:twoCellAnchor>
  <xdr:twoCellAnchor>
    <xdr:from>
      <xdr:col>12</xdr:col>
      <xdr:colOff>0</xdr:colOff>
      <xdr:row>26</xdr:row>
      <xdr:rowOff>0</xdr:rowOff>
    </xdr:from>
    <xdr:to>
      <xdr:col>12</xdr:col>
      <xdr:colOff>219075</xdr:colOff>
      <xdr:row>26</xdr:row>
      <xdr:rowOff>180975</xdr:rowOff>
    </xdr:to>
    <xdr:sp>
      <xdr:nvSpPr>
        <xdr:cNvPr id="2" name="Rectangle 2"/>
        <xdr:cNvSpPr>
          <a:spLocks/>
        </xdr:cNvSpPr>
      </xdr:nvSpPr>
      <xdr:spPr>
        <a:xfrm>
          <a:off x="8391525" y="5629275"/>
          <a:ext cx="21907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a:t>
          </a:r>
        </a:p>
      </xdr:txBody>
    </xdr:sp>
    <xdr:clientData/>
  </xdr:twoCellAnchor>
  <xdr:twoCellAnchor>
    <xdr:from>
      <xdr:col>17</xdr:col>
      <xdr:colOff>152400</xdr:colOff>
      <xdr:row>2</xdr:row>
      <xdr:rowOff>228600</xdr:rowOff>
    </xdr:from>
    <xdr:to>
      <xdr:col>21</xdr:col>
      <xdr:colOff>476250</xdr:colOff>
      <xdr:row>3</xdr:row>
      <xdr:rowOff>142875</xdr:rowOff>
    </xdr:to>
    <xdr:sp>
      <xdr:nvSpPr>
        <xdr:cNvPr id="3" name="TextBox 9"/>
        <xdr:cNvSpPr txBox="1">
          <a:spLocks noChangeArrowheads="1"/>
        </xdr:cNvSpPr>
      </xdr:nvSpPr>
      <xdr:spPr>
        <a:xfrm>
          <a:off x="12125325" y="657225"/>
          <a:ext cx="306705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データ凡例
　　　　　のセル：該当する場合のみ、手入力または選択するセル
それ以外のセル：入力不要</a:t>
          </a:r>
        </a:p>
      </xdr:txBody>
    </xdr:sp>
    <xdr:clientData/>
  </xdr:twoCellAnchor>
  <xdr:twoCellAnchor>
    <xdr:from>
      <xdr:col>17</xdr:col>
      <xdr:colOff>323850</xdr:colOff>
      <xdr:row>2</xdr:row>
      <xdr:rowOff>409575</xdr:rowOff>
    </xdr:from>
    <xdr:to>
      <xdr:col>17</xdr:col>
      <xdr:colOff>600075</xdr:colOff>
      <xdr:row>2</xdr:row>
      <xdr:rowOff>561975</xdr:rowOff>
    </xdr:to>
    <xdr:sp>
      <xdr:nvSpPr>
        <xdr:cNvPr id="4" name="Rectangle 10"/>
        <xdr:cNvSpPr>
          <a:spLocks/>
        </xdr:cNvSpPr>
      </xdr:nvSpPr>
      <xdr:spPr>
        <a:xfrm>
          <a:off x="12296775" y="838200"/>
          <a:ext cx="276225" cy="152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55</xdr:row>
      <xdr:rowOff>161925</xdr:rowOff>
    </xdr:from>
    <xdr:to>
      <xdr:col>7</xdr:col>
      <xdr:colOff>266700</xdr:colOff>
      <xdr:row>67</xdr:row>
      <xdr:rowOff>0</xdr:rowOff>
    </xdr:to>
    <xdr:sp>
      <xdr:nvSpPr>
        <xdr:cNvPr id="5" name="AutoShape 12"/>
        <xdr:cNvSpPr>
          <a:spLocks/>
        </xdr:cNvSpPr>
      </xdr:nvSpPr>
      <xdr:spPr>
        <a:xfrm>
          <a:off x="2257425" y="11544300"/>
          <a:ext cx="2781300" cy="1895475"/>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657225</xdr:colOff>
      <xdr:row>23</xdr:row>
      <xdr:rowOff>114300</xdr:rowOff>
    </xdr:from>
    <xdr:to>
      <xdr:col>25</xdr:col>
      <xdr:colOff>209550</xdr:colOff>
      <xdr:row>24</xdr:row>
      <xdr:rowOff>171450</xdr:rowOff>
    </xdr:to>
    <xdr:sp>
      <xdr:nvSpPr>
        <xdr:cNvPr id="6" name="TextBox 25"/>
        <xdr:cNvSpPr txBox="1">
          <a:spLocks noChangeArrowheads="1"/>
        </xdr:cNvSpPr>
      </xdr:nvSpPr>
      <xdr:spPr>
        <a:xfrm>
          <a:off x="12630150" y="5172075"/>
          <a:ext cx="50387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※複数の都市ガス事業者と契約している場合はこちらを参照してください。</a:t>
          </a:r>
        </a:p>
      </xdr:txBody>
    </xdr:sp>
    <xdr:clientData/>
  </xdr:twoCellAnchor>
  <xdr:twoCellAnchor>
    <xdr:from>
      <xdr:col>24</xdr:col>
      <xdr:colOff>0</xdr:colOff>
      <xdr:row>38</xdr:row>
      <xdr:rowOff>123825</xdr:rowOff>
    </xdr:from>
    <xdr:to>
      <xdr:col>25</xdr:col>
      <xdr:colOff>104775</xdr:colOff>
      <xdr:row>40</xdr:row>
      <xdr:rowOff>76200</xdr:rowOff>
    </xdr:to>
    <xdr:sp>
      <xdr:nvSpPr>
        <xdr:cNvPr id="7" name="Oval 26"/>
        <xdr:cNvSpPr>
          <a:spLocks/>
        </xdr:cNvSpPr>
      </xdr:nvSpPr>
      <xdr:spPr>
        <a:xfrm>
          <a:off x="16773525" y="8039100"/>
          <a:ext cx="790575" cy="3333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609600</xdr:colOff>
      <xdr:row>41</xdr:row>
      <xdr:rowOff>9525</xdr:rowOff>
    </xdr:from>
    <xdr:to>
      <xdr:col>26</xdr:col>
      <xdr:colOff>638175</xdr:colOff>
      <xdr:row>45</xdr:row>
      <xdr:rowOff>104775</xdr:rowOff>
    </xdr:to>
    <xdr:sp>
      <xdr:nvSpPr>
        <xdr:cNvPr id="8" name="TextBox 27"/>
        <xdr:cNvSpPr txBox="1">
          <a:spLocks noChangeArrowheads="1"/>
        </xdr:cNvSpPr>
      </xdr:nvSpPr>
      <xdr:spPr>
        <a:xfrm>
          <a:off x="12582525" y="8496300"/>
          <a:ext cx="6200775" cy="125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※複数の都市ガス事業者と契約している場合
１　購入する都市ガス事業者ごと、事業所の都市ガス使用量の合計を算定してください。
２　「１」で算定した値を、購入する都市ガス事業者ごと、「事業所使用量」欄に入力してください。
３　○の値が、全事業所の加重平均発熱量となるため、左の表の単位発熱量「Ｃ」①の欄に入力してください。
※この方法の他、別紙２をガス事業者ごと複数枚提出する方法でも可とします。</a:t>
          </a:r>
        </a:p>
      </xdr:txBody>
    </xdr:sp>
    <xdr:clientData/>
  </xdr:twoCellAnchor>
  <xdr:twoCellAnchor>
    <xdr:from>
      <xdr:col>17</xdr:col>
      <xdr:colOff>657225</xdr:colOff>
      <xdr:row>47</xdr:row>
      <xdr:rowOff>114300</xdr:rowOff>
    </xdr:from>
    <xdr:to>
      <xdr:col>25</xdr:col>
      <xdr:colOff>209550</xdr:colOff>
      <xdr:row>48</xdr:row>
      <xdr:rowOff>171450</xdr:rowOff>
    </xdr:to>
    <xdr:sp>
      <xdr:nvSpPr>
        <xdr:cNvPr id="9" name="TextBox 28"/>
        <xdr:cNvSpPr txBox="1">
          <a:spLocks noChangeArrowheads="1"/>
        </xdr:cNvSpPr>
      </xdr:nvSpPr>
      <xdr:spPr>
        <a:xfrm>
          <a:off x="12630150" y="10125075"/>
          <a:ext cx="50387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※複数の電気事業者と契約している場合はこちらを参照してください。</a:t>
          </a:r>
        </a:p>
      </xdr:txBody>
    </xdr:sp>
    <xdr:clientData/>
  </xdr:twoCellAnchor>
  <xdr:twoCellAnchor>
    <xdr:from>
      <xdr:col>24</xdr:col>
      <xdr:colOff>0</xdr:colOff>
      <xdr:row>62</xdr:row>
      <xdr:rowOff>123825</xdr:rowOff>
    </xdr:from>
    <xdr:to>
      <xdr:col>25</xdr:col>
      <xdr:colOff>104775</xdr:colOff>
      <xdr:row>64</xdr:row>
      <xdr:rowOff>76200</xdr:rowOff>
    </xdr:to>
    <xdr:sp>
      <xdr:nvSpPr>
        <xdr:cNvPr id="10" name="Oval 29"/>
        <xdr:cNvSpPr>
          <a:spLocks/>
        </xdr:cNvSpPr>
      </xdr:nvSpPr>
      <xdr:spPr>
        <a:xfrm>
          <a:off x="16773525" y="12706350"/>
          <a:ext cx="7905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609600</xdr:colOff>
      <xdr:row>65</xdr:row>
      <xdr:rowOff>9525</xdr:rowOff>
    </xdr:from>
    <xdr:to>
      <xdr:col>26</xdr:col>
      <xdr:colOff>638175</xdr:colOff>
      <xdr:row>76</xdr:row>
      <xdr:rowOff>95250</xdr:rowOff>
    </xdr:to>
    <xdr:sp>
      <xdr:nvSpPr>
        <xdr:cNvPr id="11" name="TextBox 30"/>
        <xdr:cNvSpPr txBox="1">
          <a:spLocks noChangeArrowheads="1"/>
        </xdr:cNvSpPr>
      </xdr:nvSpPr>
      <xdr:spPr>
        <a:xfrm>
          <a:off x="12582525" y="13106400"/>
          <a:ext cx="6200775" cy="1971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※複数の電気事業者と契約している場合
１　購入する電気事業者ごと、事業所の電気使用量の合計を算定してください。
２　「１」で算定した値を、購入する電気事業者ごと、「事業所使用量」欄に入力してください。
３　○の値が、全事業所の加重平均排出係数となるため、左の表の電気の排出係数（買電に係るもの）②の欄に入力してください。
※複数の電気事業者に売電している場合は、上の表の「購入」を「売却」に読み替え、売却した全事業所の加重平均排出係数を左の表の電気の排出係数（売電に係るもの）③の欄に入力してください。
※この方法の他、別紙２を電力事業者ごと複数枚提出する方法でも可とします。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nv.go.jp/press/104919.html" TargetMode="External" /><Relationship Id="rId2" Type="http://schemas.openxmlformats.org/officeDocument/2006/relationships/hyperlink" Target="https://ghg-santeikohyo.env.go.jp/files/calc/h31_coefficient.pdf"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39"/>
  <sheetViews>
    <sheetView workbookViewId="0" topLeftCell="A1">
      <selection activeCell="G20" sqref="G20"/>
    </sheetView>
  </sheetViews>
  <sheetFormatPr defaultColWidth="9.00390625" defaultRowHeight="13.5"/>
  <cols>
    <col min="1" max="8" width="10.75390625" style="0" customWidth="1"/>
  </cols>
  <sheetData>
    <row r="3" ht="6.75" customHeight="1"/>
    <row r="4" ht="21" customHeight="1">
      <c r="A4" s="1" t="s">
        <v>0</v>
      </c>
    </row>
    <row r="5" spans="1:8" ht="21" customHeight="1">
      <c r="A5" s="2" t="s">
        <v>7</v>
      </c>
      <c r="B5" s="3"/>
      <c r="C5" s="3"/>
      <c r="D5" s="3"/>
      <c r="E5" s="3"/>
      <c r="F5" s="3"/>
      <c r="G5" s="3"/>
      <c r="H5" s="3"/>
    </row>
    <row r="6" spans="1:8" ht="21" customHeight="1">
      <c r="A6" s="2" t="s">
        <v>11</v>
      </c>
      <c r="B6" s="3"/>
      <c r="C6" s="3"/>
      <c r="D6" s="3"/>
      <c r="E6" s="3"/>
      <c r="F6" s="3"/>
      <c r="G6" s="3"/>
      <c r="H6" s="3"/>
    </row>
    <row r="7" spans="1:8" ht="21" customHeight="1">
      <c r="A7" s="2" t="s">
        <v>2</v>
      </c>
      <c r="B7" s="3"/>
      <c r="C7" s="3"/>
      <c r="D7" s="3"/>
      <c r="E7" s="3"/>
      <c r="F7" s="3"/>
      <c r="G7" s="3"/>
      <c r="H7" s="3"/>
    </row>
    <row r="8" spans="1:8" ht="21" customHeight="1">
      <c r="A8" s="2" t="s">
        <v>12</v>
      </c>
      <c r="B8" s="3"/>
      <c r="C8" s="3"/>
      <c r="D8" s="3"/>
      <c r="E8" s="3"/>
      <c r="F8" s="3"/>
      <c r="G8" s="3"/>
      <c r="H8" s="3"/>
    </row>
    <row r="9" spans="1:8" ht="21" customHeight="1">
      <c r="A9" s="2" t="s">
        <v>10</v>
      </c>
      <c r="B9" s="3"/>
      <c r="C9" s="3"/>
      <c r="D9" s="3"/>
      <c r="E9" s="3"/>
      <c r="F9" s="3"/>
      <c r="G9" s="3"/>
      <c r="H9" s="3"/>
    </row>
    <row r="10" ht="21" customHeight="1">
      <c r="A10" s="1"/>
    </row>
    <row r="11" ht="21" customHeight="1">
      <c r="A11" s="1" t="s">
        <v>1</v>
      </c>
    </row>
    <row r="12" spans="1:8" ht="21" customHeight="1">
      <c r="A12" s="4" t="s">
        <v>14</v>
      </c>
      <c r="B12" s="5" t="s">
        <v>19</v>
      </c>
      <c r="C12" s="5" t="s">
        <v>20</v>
      </c>
      <c r="D12" s="5" t="s">
        <v>21</v>
      </c>
      <c r="E12" s="5" t="s">
        <v>23</v>
      </c>
      <c r="F12" s="5" t="s">
        <v>20</v>
      </c>
      <c r="G12" s="5" t="s">
        <v>21</v>
      </c>
      <c r="H12" s="5" t="s">
        <v>26</v>
      </c>
    </row>
    <row r="13" spans="1:8" ht="21" customHeight="1">
      <c r="A13" s="6" t="s">
        <v>28</v>
      </c>
      <c r="B13" s="7">
        <v>100</v>
      </c>
      <c r="C13" s="7">
        <f>45*0.0136*44/12</f>
        <v>2.244</v>
      </c>
      <c r="D13" s="7">
        <f>B13*C13</f>
        <v>224.40000000000003</v>
      </c>
      <c r="E13" s="7">
        <v>90</v>
      </c>
      <c r="F13" s="7">
        <f>45*0.0136*44/12</f>
        <v>2.244</v>
      </c>
      <c r="G13" s="7">
        <f>E13*F13</f>
        <v>201.96</v>
      </c>
      <c r="H13" s="8" t="s">
        <v>30</v>
      </c>
    </row>
    <row r="14" spans="1:8" ht="21" customHeight="1">
      <c r="A14" s="6" t="s">
        <v>31</v>
      </c>
      <c r="B14" s="7">
        <v>1000</v>
      </c>
      <c r="C14" s="7">
        <v>0.5</v>
      </c>
      <c r="D14" s="7">
        <f>B14*C14</f>
        <v>500</v>
      </c>
      <c r="E14" s="7">
        <v>900</v>
      </c>
      <c r="F14" s="7">
        <v>0.5</v>
      </c>
      <c r="G14" s="7">
        <f>E14*F14</f>
        <v>450</v>
      </c>
      <c r="H14" s="8" t="s">
        <v>18</v>
      </c>
    </row>
    <row r="15" spans="1:8" ht="21" customHeight="1">
      <c r="A15" s="6" t="s">
        <v>32</v>
      </c>
      <c r="B15" s="9"/>
      <c r="C15" s="9"/>
      <c r="D15" s="7">
        <f>SUM(D13:D14)</f>
        <v>724.4000000000001</v>
      </c>
      <c r="E15" s="9"/>
      <c r="F15" s="9"/>
      <c r="G15" s="7">
        <f>SUM(G13:G14)</f>
        <v>651.96</v>
      </c>
      <c r="H15" s="8" t="s">
        <v>34</v>
      </c>
    </row>
    <row r="16" spans="1:8" ht="21" customHeight="1">
      <c r="A16" s="10" t="s">
        <v>37</v>
      </c>
      <c r="B16" s="11"/>
      <c r="C16" s="11"/>
      <c r="D16" s="11"/>
      <c r="E16" s="11"/>
      <c r="F16" s="11"/>
      <c r="G16" s="12">
        <f>G15-D15</f>
        <v>-72.44000000000005</v>
      </c>
      <c r="H16" s="13" t="s">
        <v>34</v>
      </c>
    </row>
    <row r="17" ht="21" customHeight="1">
      <c r="A17" s="1"/>
    </row>
    <row r="18" ht="21" customHeight="1">
      <c r="A18" s="1" t="s">
        <v>40</v>
      </c>
    </row>
    <row r="19" spans="1:8" ht="21" customHeight="1">
      <c r="A19" s="2" t="s">
        <v>27</v>
      </c>
      <c r="B19" s="3"/>
      <c r="C19" s="3"/>
      <c r="D19" s="3"/>
      <c r="E19" s="3"/>
      <c r="F19" s="3"/>
      <c r="G19" s="3"/>
      <c r="H19" s="3"/>
    </row>
    <row r="20" spans="1:8" ht="21" customHeight="1">
      <c r="A20" s="2" t="s">
        <v>41</v>
      </c>
      <c r="B20" s="3"/>
      <c r="C20" s="3"/>
      <c r="D20" s="3"/>
      <c r="E20" s="3"/>
      <c r="F20" s="3"/>
      <c r="G20" s="3"/>
      <c r="H20" s="3"/>
    </row>
    <row r="21" spans="1:8" ht="21" customHeight="1">
      <c r="A21" s="2" t="s">
        <v>5</v>
      </c>
      <c r="B21" s="3"/>
      <c r="C21" s="3"/>
      <c r="D21" s="3"/>
      <c r="E21" s="3"/>
      <c r="F21" s="3"/>
      <c r="G21" s="3"/>
      <c r="H21" s="3"/>
    </row>
    <row r="22" spans="1:8" ht="21" customHeight="1">
      <c r="A22" s="2" t="s">
        <v>29</v>
      </c>
      <c r="B22" s="3"/>
      <c r="C22" s="3"/>
      <c r="D22" s="3"/>
      <c r="E22" s="3"/>
      <c r="F22" s="3"/>
      <c r="G22" s="3"/>
      <c r="H22" s="3"/>
    </row>
    <row r="23" ht="21" customHeight="1">
      <c r="A23" s="1"/>
    </row>
    <row r="24" ht="21" customHeight="1">
      <c r="A24" s="1" t="s">
        <v>43</v>
      </c>
    </row>
    <row r="25" spans="1:8" ht="21" customHeight="1">
      <c r="A25" s="2" t="s">
        <v>6</v>
      </c>
      <c r="B25" s="3"/>
      <c r="C25" s="3"/>
      <c r="D25" s="3"/>
      <c r="E25" s="3"/>
      <c r="F25" s="3"/>
      <c r="G25" s="3"/>
      <c r="H25" s="3"/>
    </row>
    <row r="26" spans="1:8" ht="21" customHeight="1">
      <c r="A26" s="2" t="s">
        <v>44</v>
      </c>
      <c r="B26" s="3"/>
      <c r="C26" s="3"/>
      <c r="D26" s="3"/>
      <c r="E26" s="3"/>
      <c r="F26" s="3"/>
      <c r="G26" s="3"/>
      <c r="H26" s="3"/>
    </row>
    <row r="27" ht="21" customHeight="1">
      <c r="A27" s="1"/>
    </row>
    <row r="28" ht="21" customHeight="1">
      <c r="A28" s="1" t="s">
        <v>45</v>
      </c>
    </row>
    <row r="29" spans="1:7" ht="21" customHeight="1">
      <c r="A29" s="14"/>
      <c r="B29" s="192" t="s">
        <v>47</v>
      </c>
      <c r="C29" s="192"/>
      <c r="D29" s="15" t="s">
        <v>48</v>
      </c>
      <c r="E29" s="5" t="s">
        <v>20</v>
      </c>
      <c r="F29" s="192" t="s">
        <v>49</v>
      </c>
      <c r="G29" s="192"/>
    </row>
    <row r="30" spans="1:7" ht="21" customHeight="1">
      <c r="A30" s="4" t="s">
        <v>39</v>
      </c>
      <c r="B30" s="193">
        <v>20</v>
      </c>
      <c r="C30" s="193"/>
      <c r="D30" s="17">
        <v>500</v>
      </c>
      <c r="E30" s="16">
        <v>0.5</v>
      </c>
      <c r="F30" s="194">
        <f>B30*D30*E30</f>
        <v>5000</v>
      </c>
      <c r="G30" s="194"/>
    </row>
    <row r="31" ht="21" customHeight="1"/>
    <row r="32" ht="21" customHeight="1">
      <c r="A32" s="1" t="s">
        <v>55</v>
      </c>
    </row>
    <row r="33" spans="1:7" ht="21" customHeight="1">
      <c r="A33" s="2" t="s">
        <v>56</v>
      </c>
      <c r="B33" s="3"/>
      <c r="C33" s="3"/>
      <c r="D33" s="3"/>
      <c r="E33" s="3"/>
      <c r="F33" s="3"/>
      <c r="G33" s="3"/>
    </row>
    <row r="34" spans="1:7" ht="21" customHeight="1">
      <c r="A34" s="2" t="s">
        <v>57</v>
      </c>
      <c r="B34" s="3"/>
      <c r="C34" s="3"/>
      <c r="D34" s="3"/>
      <c r="E34" s="3"/>
      <c r="F34" s="3"/>
      <c r="G34" s="3"/>
    </row>
    <row r="35" ht="21" customHeight="1">
      <c r="A35" s="1"/>
    </row>
    <row r="36" ht="21" customHeight="1">
      <c r="A36" s="1" t="s">
        <v>9</v>
      </c>
    </row>
    <row r="37" ht="21" customHeight="1">
      <c r="A37" s="1" t="s">
        <v>22</v>
      </c>
    </row>
    <row r="38" spans="1:6" ht="21" customHeight="1">
      <c r="A38" s="14"/>
      <c r="B38" s="192" t="s">
        <v>58</v>
      </c>
      <c r="C38" s="192"/>
      <c r="D38" s="5" t="s">
        <v>13</v>
      </c>
      <c r="E38" s="192" t="s">
        <v>49</v>
      </c>
      <c r="F38" s="192"/>
    </row>
    <row r="39" spans="1:6" ht="21" customHeight="1">
      <c r="A39" s="4" t="s">
        <v>39</v>
      </c>
      <c r="B39" s="193">
        <v>14</v>
      </c>
      <c r="C39" s="193"/>
      <c r="D39" s="17">
        <v>100</v>
      </c>
      <c r="E39" s="194">
        <f>B39*D39</f>
        <v>1400</v>
      </c>
      <c r="F39" s="194"/>
    </row>
    <row r="40" ht="21" customHeight="1"/>
    <row r="41" ht="21" customHeight="1"/>
    <row r="42" ht="21" customHeight="1"/>
    <row r="43" ht="21" customHeight="1"/>
    <row r="44" ht="21" customHeight="1"/>
  </sheetData>
  <mergeCells count="8">
    <mergeCell ref="B38:C38"/>
    <mergeCell ref="E38:F38"/>
    <mergeCell ref="B39:C39"/>
    <mergeCell ref="E39:F39"/>
    <mergeCell ref="B29:C29"/>
    <mergeCell ref="F29:G29"/>
    <mergeCell ref="B30:C30"/>
    <mergeCell ref="F30:G30"/>
  </mergeCells>
  <printOptions/>
  <pageMargins left="0.3937007874015748"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A1:X122"/>
  <sheetViews>
    <sheetView tabSelected="1" view="pageBreakPreview" zoomScale="85" zoomScaleSheetLayoutView="85" workbookViewId="0" topLeftCell="A1">
      <selection activeCell="S121" sqref="S121"/>
    </sheetView>
  </sheetViews>
  <sheetFormatPr defaultColWidth="9.00390625" defaultRowHeight="13.5"/>
  <cols>
    <col min="1" max="1" width="3.625" style="18" customWidth="1"/>
    <col min="2" max="2" width="11.125" style="18" customWidth="1"/>
    <col min="3" max="3" width="12.625" style="18" customWidth="1"/>
    <col min="4" max="4" width="10.125" style="18" customWidth="1"/>
    <col min="5" max="5" width="10.75390625" style="18" customWidth="1"/>
    <col min="6" max="6" width="6.625" style="18" customWidth="1"/>
    <col min="7" max="7" width="12.25390625" style="18" customWidth="1"/>
    <col min="8" max="8" width="10.125" style="18" customWidth="1"/>
    <col min="9" max="9" width="6.625" style="18" customWidth="1"/>
    <col min="10" max="10" width="11.625" style="18" customWidth="1"/>
    <col min="11" max="12" width="10.625" style="18" customWidth="1"/>
    <col min="13" max="13" width="9.00390625" style="18" bestFit="1" customWidth="1"/>
    <col min="14" max="14" width="9.75390625" style="18" bestFit="1" customWidth="1"/>
    <col min="15" max="16384" width="9.00390625" style="18" bestFit="1" customWidth="1"/>
  </cols>
  <sheetData>
    <row r="1" ht="18.75">
      <c r="A1" s="20" t="s">
        <v>35</v>
      </c>
    </row>
    <row r="2" spans="1:14" ht="15" customHeight="1">
      <c r="A2" s="195" t="s">
        <v>60</v>
      </c>
      <c r="B2" s="196"/>
      <c r="C2" s="196"/>
      <c r="D2" s="197"/>
      <c r="E2" s="201" t="s">
        <v>62</v>
      </c>
      <c r="F2" s="202"/>
      <c r="G2" s="203"/>
      <c r="H2" s="201" t="s">
        <v>63</v>
      </c>
      <c r="I2" s="202"/>
      <c r="J2" s="203"/>
      <c r="K2" s="204" t="s">
        <v>53</v>
      </c>
      <c r="L2" s="204" t="s">
        <v>17</v>
      </c>
      <c r="M2" s="201" t="s">
        <v>61</v>
      </c>
      <c r="N2" s="203"/>
    </row>
    <row r="3" spans="1:14" ht="42" customHeight="1">
      <c r="A3" s="198"/>
      <c r="B3" s="199"/>
      <c r="C3" s="199"/>
      <c r="D3" s="200"/>
      <c r="E3" s="21" t="s">
        <v>52</v>
      </c>
      <c r="F3" s="22" t="s">
        <v>64</v>
      </c>
      <c r="G3" s="21" t="s">
        <v>4</v>
      </c>
      <c r="H3" s="21" t="s">
        <v>24</v>
      </c>
      <c r="I3" s="22" t="s">
        <v>64</v>
      </c>
      <c r="J3" s="21" t="s">
        <v>50</v>
      </c>
      <c r="K3" s="205"/>
      <c r="L3" s="205"/>
      <c r="M3" s="23" t="s">
        <v>36</v>
      </c>
      <c r="N3" s="24" t="s">
        <v>64</v>
      </c>
    </row>
    <row r="4" spans="1:14" ht="15" customHeight="1">
      <c r="A4" s="206" t="s">
        <v>14</v>
      </c>
      <c r="B4" s="209" t="s">
        <v>66</v>
      </c>
      <c r="C4" s="210"/>
      <c r="D4" s="211"/>
      <c r="E4" s="25"/>
      <c r="F4" s="26" t="s">
        <v>67</v>
      </c>
      <c r="G4" s="27">
        <f>E4*38.2</f>
        <v>0</v>
      </c>
      <c r="H4" s="25"/>
      <c r="I4" s="26" t="s">
        <v>67</v>
      </c>
      <c r="J4" s="27">
        <f>H4*38.2</f>
        <v>0</v>
      </c>
      <c r="K4" s="28">
        <f aca="true" t="shared" si="0" ref="K4:K13">G4-J4</f>
        <v>0</v>
      </c>
      <c r="L4" s="29">
        <f>K4*0.0187*44/12</f>
        <v>0</v>
      </c>
      <c r="M4" s="30">
        <v>38.2</v>
      </c>
      <c r="N4" s="31" t="s">
        <v>65</v>
      </c>
    </row>
    <row r="5" spans="1:14" ht="15" customHeight="1">
      <c r="A5" s="207"/>
      <c r="B5" s="209" t="s">
        <v>46</v>
      </c>
      <c r="C5" s="210"/>
      <c r="D5" s="211"/>
      <c r="E5" s="25"/>
      <c r="F5" s="26" t="s">
        <v>67</v>
      </c>
      <c r="G5" s="27">
        <f>E5*35.3</f>
        <v>0</v>
      </c>
      <c r="H5" s="25"/>
      <c r="I5" s="26" t="s">
        <v>67</v>
      </c>
      <c r="J5" s="27">
        <f>H5*35.3</f>
        <v>0</v>
      </c>
      <c r="K5" s="28">
        <f t="shared" si="0"/>
        <v>0</v>
      </c>
      <c r="L5" s="29">
        <f>K5*0.0184*44/12</f>
        <v>0</v>
      </c>
      <c r="M5" s="30">
        <v>35.3</v>
      </c>
      <c r="N5" s="31" t="s">
        <v>65</v>
      </c>
    </row>
    <row r="6" spans="1:14" ht="15" customHeight="1">
      <c r="A6" s="207"/>
      <c r="B6" s="209" t="s">
        <v>68</v>
      </c>
      <c r="C6" s="210"/>
      <c r="D6" s="211"/>
      <c r="E6" s="25"/>
      <c r="F6" s="26" t="s">
        <v>67</v>
      </c>
      <c r="G6" s="27">
        <f>E6*34.6</f>
        <v>0</v>
      </c>
      <c r="H6" s="25"/>
      <c r="I6" s="26" t="s">
        <v>67</v>
      </c>
      <c r="J6" s="27">
        <f>H6*34.6</f>
        <v>0</v>
      </c>
      <c r="K6" s="28">
        <f t="shared" si="0"/>
        <v>0</v>
      </c>
      <c r="L6" s="29">
        <f>K6*0.0183*44/12</f>
        <v>0</v>
      </c>
      <c r="M6" s="30">
        <v>34.6</v>
      </c>
      <c r="N6" s="31" t="s">
        <v>65</v>
      </c>
    </row>
    <row r="7" spans="1:14" ht="15" customHeight="1">
      <c r="A7" s="207"/>
      <c r="B7" s="209" t="s">
        <v>15</v>
      </c>
      <c r="C7" s="210"/>
      <c r="D7" s="211"/>
      <c r="E7" s="25"/>
      <c r="F7" s="26" t="s">
        <v>67</v>
      </c>
      <c r="G7" s="27">
        <f>E7*33.6</f>
        <v>0</v>
      </c>
      <c r="H7" s="25"/>
      <c r="I7" s="26" t="s">
        <v>67</v>
      </c>
      <c r="J7" s="27">
        <f>H7*33.6</f>
        <v>0</v>
      </c>
      <c r="K7" s="28">
        <f t="shared" si="0"/>
        <v>0</v>
      </c>
      <c r="L7" s="29">
        <f>K7*0.0182*44/12</f>
        <v>0</v>
      </c>
      <c r="M7" s="32">
        <v>33.6</v>
      </c>
      <c r="N7" s="31" t="s">
        <v>65</v>
      </c>
    </row>
    <row r="8" spans="1:14" ht="15" customHeight="1">
      <c r="A8" s="207"/>
      <c r="B8" s="212" t="s">
        <v>72</v>
      </c>
      <c r="C8" s="213"/>
      <c r="D8" s="214"/>
      <c r="E8" s="25"/>
      <c r="F8" s="26" t="s">
        <v>67</v>
      </c>
      <c r="G8" s="27">
        <f>E8*36.7</f>
        <v>0</v>
      </c>
      <c r="H8" s="25"/>
      <c r="I8" s="26" t="s">
        <v>67</v>
      </c>
      <c r="J8" s="27">
        <f>H8*36.7</f>
        <v>0</v>
      </c>
      <c r="K8" s="28">
        <f t="shared" si="0"/>
        <v>0</v>
      </c>
      <c r="L8" s="29">
        <f>K8*0.0185*44/12</f>
        <v>0</v>
      </c>
      <c r="M8" s="30">
        <v>36.7</v>
      </c>
      <c r="N8" s="31" t="s">
        <v>65</v>
      </c>
    </row>
    <row r="9" spans="1:14" ht="15" customHeight="1">
      <c r="A9" s="207"/>
      <c r="B9" s="212" t="s">
        <v>73</v>
      </c>
      <c r="C9" s="213"/>
      <c r="D9" s="214"/>
      <c r="E9" s="25"/>
      <c r="F9" s="26" t="s">
        <v>67</v>
      </c>
      <c r="G9" s="27">
        <f>E9*37.7</f>
        <v>0</v>
      </c>
      <c r="H9" s="25"/>
      <c r="I9" s="26" t="s">
        <v>67</v>
      </c>
      <c r="J9" s="27">
        <f>H9*37.7</f>
        <v>0</v>
      </c>
      <c r="K9" s="28">
        <f t="shared" si="0"/>
        <v>0</v>
      </c>
      <c r="L9" s="29">
        <f>K9*0.0187*44/12</f>
        <v>0</v>
      </c>
      <c r="M9" s="30">
        <v>37.7</v>
      </c>
      <c r="N9" s="31" t="s">
        <v>65</v>
      </c>
    </row>
    <row r="10" spans="1:14" ht="15" customHeight="1">
      <c r="A10" s="207"/>
      <c r="B10" s="212" t="s">
        <v>38</v>
      </c>
      <c r="C10" s="213"/>
      <c r="D10" s="214"/>
      <c r="E10" s="25"/>
      <c r="F10" s="26" t="s">
        <v>67</v>
      </c>
      <c r="G10" s="27">
        <f>E10*39.1</f>
        <v>0</v>
      </c>
      <c r="H10" s="25"/>
      <c r="I10" s="26" t="s">
        <v>67</v>
      </c>
      <c r="J10" s="27">
        <f>H10*39.1</f>
        <v>0</v>
      </c>
      <c r="K10" s="28">
        <f t="shared" si="0"/>
        <v>0</v>
      </c>
      <c r="L10" s="29">
        <f>K10*0.0189*44/12</f>
        <v>0</v>
      </c>
      <c r="M10" s="30">
        <v>39.1</v>
      </c>
      <c r="N10" s="31" t="s">
        <v>65</v>
      </c>
    </row>
    <row r="11" spans="1:14" ht="15" customHeight="1">
      <c r="A11" s="207"/>
      <c r="B11" s="212" t="s">
        <v>70</v>
      </c>
      <c r="C11" s="213"/>
      <c r="D11" s="214"/>
      <c r="E11" s="25"/>
      <c r="F11" s="26" t="s">
        <v>67</v>
      </c>
      <c r="G11" s="27">
        <f>E11*41.9</f>
        <v>0</v>
      </c>
      <c r="H11" s="25"/>
      <c r="I11" s="26" t="s">
        <v>67</v>
      </c>
      <c r="J11" s="27">
        <f>H11*41.9</f>
        <v>0</v>
      </c>
      <c r="K11" s="28">
        <f t="shared" si="0"/>
        <v>0</v>
      </c>
      <c r="L11" s="29">
        <f>K11*0.0195*44/12</f>
        <v>0</v>
      </c>
      <c r="M11" s="30">
        <v>41.9</v>
      </c>
      <c r="N11" s="31" t="s">
        <v>65</v>
      </c>
    </row>
    <row r="12" spans="1:14" ht="15" customHeight="1">
      <c r="A12" s="207"/>
      <c r="B12" s="212" t="s">
        <v>74</v>
      </c>
      <c r="C12" s="213"/>
      <c r="D12" s="214"/>
      <c r="E12" s="25"/>
      <c r="F12" s="26" t="s">
        <v>75</v>
      </c>
      <c r="G12" s="27">
        <f>E12*40.9</f>
        <v>0</v>
      </c>
      <c r="H12" s="25"/>
      <c r="I12" s="26" t="s">
        <v>75</v>
      </c>
      <c r="J12" s="27">
        <f>H12*40.9</f>
        <v>0</v>
      </c>
      <c r="K12" s="28">
        <f t="shared" si="0"/>
        <v>0</v>
      </c>
      <c r="L12" s="29">
        <f>K12*0.0208*44/12</f>
        <v>0</v>
      </c>
      <c r="M12" s="30">
        <v>40.9</v>
      </c>
      <c r="N12" s="31" t="s">
        <v>76</v>
      </c>
    </row>
    <row r="13" spans="1:14" ht="15" customHeight="1">
      <c r="A13" s="207"/>
      <c r="B13" s="212" t="s">
        <v>77</v>
      </c>
      <c r="C13" s="213"/>
      <c r="D13" s="214"/>
      <c r="E13" s="25"/>
      <c r="F13" s="26" t="s">
        <v>75</v>
      </c>
      <c r="G13" s="27">
        <f>E13*29.9</f>
        <v>0</v>
      </c>
      <c r="H13" s="25"/>
      <c r="I13" s="26" t="s">
        <v>75</v>
      </c>
      <c r="J13" s="27">
        <f>H13*29.9</f>
        <v>0</v>
      </c>
      <c r="K13" s="28">
        <f t="shared" si="0"/>
        <v>0</v>
      </c>
      <c r="L13" s="29">
        <f>K13*0.0254*44/12</f>
        <v>0</v>
      </c>
      <c r="M13" s="30">
        <v>29.9</v>
      </c>
      <c r="N13" s="31" t="s">
        <v>76</v>
      </c>
    </row>
    <row r="14" spans="1:14" ht="15" customHeight="1">
      <c r="A14" s="207"/>
      <c r="B14" s="215" t="s">
        <v>78</v>
      </c>
      <c r="C14" s="209" t="s">
        <v>79</v>
      </c>
      <c r="D14" s="211"/>
      <c r="E14" s="25"/>
      <c r="F14" s="26" t="s">
        <v>75</v>
      </c>
      <c r="G14" s="27">
        <f>E14*50.8</f>
        <v>0</v>
      </c>
      <c r="H14" s="25"/>
      <c r="I14" s="26" t="s">
        <v>75</v>
      </c>
      <c r="J14" s="27">
        <f>H14*50.8</f>
        <v>0</v>
      </c>
      <c r="K14" s="28">
        <f aca="true" t="shared" si="1" ref="K14:K27">G14-J14</f>
        <v>0</v>
      </c>
      <c r="L14" s="29">
        <f>K14*0.0161*44/12</f>
        <v>0</v>
      </c>
      <c r="M14" s="30">
        <v>50.8</v>
      </c>
      <c r="N14" s="31" t="s">
        <v>76</v>
      </c>
    </row>
    <row r="15" spans="1:14" ht="15" customHeight="1">
      <c r="A15" s="207"/>
      <c r="B15" s="216"/>
      <c r="C15" s="209" t="s">
        <v>80</v>
      </c>
      <c r="D15" s="211"/>
      <c r="E15" s="25"/>
      <c r="F15" s="26" t="s">
        <v>30</v>
      </c>
      <c r="G15" s="27">
        <f>E15*44.9</f>
        <v>0</v>
      </c>
      <c r="H15" s="25"/>
      <c r="I15" s="26" t="s">
        <v>30</v>
      </c>
      <c r="J15" s="27">
        <f>H15*44.9</f>
        <v>0</v>
      </c>
      <c r="K15" s="28">
        <f t="shared" si="1"/>
        <v>0</v>
      </c>
      <c r="L15" s="29">
        <f>K15*0.0142*44/12</f>
        <v>0</v>
      </c>
      <c r="M15" s="30">
        <v>44.9</v>
      </c>
      <c r="N15" s="31" t="s">
        <v>81</v>
      </c>
    </row>
    <row r="16" spans="1:22" ht="15" customHeight="1">
      <c r="A16" s="207"/>
      <c r="B16" s="215" t="s">
        <v>82</v>
      </c>
      <c r="C16" s="209" t="s">
        <v>83</v>
      </c>
      <c r="D16" s="211"/>
      <c r="E16" s="25"/>
      <c r="F16" s="26" t="s">
        <v>75</v>
      </c>
      <c r="G16" s="27">
        <f>E16*54.6</f>
        <v>0</v>
      </c>
      <c r="H16" s="25"/>
      <c r="I16" s="26" t="s">
        <v>75</v>
      </c>
      <c r="J16" s="27">
        <f>H16*54.6</f>
        <v>0</v>
      </c>
      <c r="K16" s="28">
        <f t="shared" si="1"/>
        <v>0</v>
      </c>
      <c r="L16" s="29">
        <f>K16*0.0135*44/12</f>
        <v>0</v>
      </c>
      <c r="M16" s="30">
        <v>54.6</v>
      </c>
      <c r="N16" s="31" t="s">
        <v>76</v>
      </c>
      <c r="P16" s="18" t="s">
        <v>84</v>
      </c>
      <c r="V16" s="33"/>
    </row>
    <row r="17" spans="1:22" ht="15" customHeight="1">
      <c r="A17" s="207"/>
      <c r="B17" s="216"/>
      <c r="C17" s="209" t="s">
        <v>85</v>
      </c>
      <c r="D17" s="211"/>
      <c r="E17" s="25"/>
      <c r="F17" s="26" t="s">
        <v>30</v>
      </c>
      <c r="G17" s="27">
        <f>E17*43.5</f>
        <v>0</v>
      </c>
      <c r="H17" s="25"/>
      <c r="I17" s="26" t="s">
        <v>30</v>
      </c>
      <c r="J17" s="27">
        <f>H17*43.5</f>
        <v>0</v>
      </c>
      <c r="K17" s="28">
        <f t="shared" si="1"/>
        <v>0</v>
      </c>
      <c r="L17" s="29">
        <f>K17*0.0139*44/12</f>
        <v>0</v>
      </c>
      <c r="M17" s="30">
        <v>43.5</v>
      </c>
      <c r="N17" s="31" t="s">
        <v>81</v>
      </c>
      <c r="V17" s="18" t="s">
        <v>86</v>
      </c>
    </row>
    <row r="18" spans="1:14" ht="15" customHeight="1">
      <c r="A18" s="207"/>
      <c r="B18" s="217" t="s">
        <v>87</v>
      </c>
      <c r="C18" s="209" t="s">
        <v>88</v>
      </c>
      <c r="D18" s="211"/>
      <c r="E18" s="25"/>
      <c r="F18" s="26" t="s">
        <v>75</v>
      </c>
      <c r="G18" s="27">
        <f>E18*29</f>
        <v>0</v>
      </c>
      <c r="H18" s="25"/>
      <c r="I18" s="26" t="s">
        <v>75</v>
      </c>
      <c r="J18" s="27">
        <f>H18*29</f>
        <v>0</v>
      </c>
      <c r="K18" s="28">
        <f t="shared" si="1"/>
        <v>0</v>
      </c>
      <c r="L18" s="29">
        <f>K18*0.0245*44/12</f>
        <v>0</v>
      </c>
      <c r="M18" s="30">
        <v>29</v>
      </c>
      <c r="N18" s="31" t="s">
        <v>76</v>
      </c>
    </row>
    <row r="19" spans="1:14" ht="15" customHeight="1">
      <c r="A19" s="207"/>
      <c r="B19" s="218"/>
      <c r="C19" s="209" t="s">
        <v>89</v>
      </c>
      <c r="D19" s="211"/>
      <c r="E19" s="25"/>
      <c r="F19" s="26" t="s">
        <v>75</v>
      </c>
      <c r="G19" s="27">
        <f>E19*25.7</f>
        <v>0</v>
      </c>
      <c r="H19" s="25"/>
      <c r="I19" s="26" t="s">
        <v>75</v>
      </c>
      <c r="J19" s="27">
        <f>H19*25.7</f>
        <v>0</v>
      </c>
      <c r="K19" s="28">
        <f t="shared" si="1"/>
        <v>0</v>
      </c>
      <c r="L19" s="29">
        <f>K19*0.0247*44/12</f>
        <v>0</v>
      </c>
      <c r="M19" s="30">
        <v>25.7</v>
      </c>
      <c r="N19" s="31" t="s">
        <v>76</v>
      </c>
    </row>
    <row r="20" spans="1:14" ht="15" customHeight="1">
      <c r="A20" s="207"/>
      <c r="B20" s="219"/>
      <c r="C20" s="209" t="s">
        <v>33</v>
      </c>
      <c r="D20" s="211"/>
      <c r="E20" s="25"/>
      <c r="F20" s="26" t="s">
        <v>75</v>
      </c>
      <c r="G20" s="27">
        <f>E20*26.9</f>
        <v>0</v>
      </c>
      <c r="H20" s="25"/>
      <c r="I20" s="26" t="s">
        <v>75</v>
      </c>
      <c r="J20" s="27">
        <f>H20*26.9</f>
        <v>0</v>
      </c>
      <c r="K20" s="28">
        <f t="shared" si="1"/>
        <v>0</v>
      </c>
      <c r="L20" s="29">
        <f>K20*0.0255*44/12</f>
        <v>0</v>
      </c>
      <c r="M20" s="30">
        <v>26.9</v>
      </c>
      <c r="N20" s="31" t="s">
        <v>76</v>
      </c>
    </row>
    <row r="21" spans="1:14" ht="15" customHeight="1">
      <c r="A21" s="207"/>
      <c r="B21" s="212" t="s">
        <v>3</v>
      </c>
      <c r="C21" s="213"/>
      <c r="D21" s="214"/>
      <c r="E21" s="25"/>
      <c r="F21" s="26" t="s">
        <v>75</v>
      </c>
      <c r="G21" s="27">
        <f>E21*29.4</f>
        <v>0</v>
      </c>
      <c r="H21" s="25"/>
      <c r="I21" s="26" t="s">
        <v>75</v>
      </c>
      <c r="J21" s="27">
        <f>H21*29.4</f>
        <v>0</v>
      </c>
      <c r="K21" s="28">
        <f t="shared" si="1"/>
        <v>0</v>
      </c>
      <c r="L21" s="29">
        <f>K21*0.0294*44/12</f>
        <v>0</v>
      </c>
      <c r="M21" s="30">
        <v>29.4</v>
      </c>
      <c r="N21" s="31" t="s">
        <v>76</v>
      </c>
    </row>
    <row r="22" spans="1:14" ht="15" customHeight="1">
      <c r="A22" s="207"/>
      <c r="B22" s="212" t="s">
        <v>91</v>
      </c>
      <c r="C22" s="213"/>
      <c r="D22" s="214"/>
      <c r="E22" s="25"/>
      <c r="F22" s="26" t="s">
        <v>75</v>
      </c>
      <c r="G22" s="27">
        <f>E22*37.3</f>
        <v>0</v>
      </c>
      <c r="H22" s="25"/>
      <c r="I22" s="26" t="s">
        <v>75</v>
      </c>
      <c r="J22" s="27">
        <f>H22*37.3</f>
        <v>0</v>
      </c>
      <c r="K22" s="28">
        <f t="shared" si="1"/>
        <v>0</v>
      </c>
      <c r="L22" s="29">
        <f>K22*0.0209*44/12</f>
        <v>0</v>
      </c>
      <c r="M22" s="30">
        <v>37.3</v>
      </c>
      <c r="N22" s="31" t="s">
        <v>76</v>
      </c>
    </row>
    <row r="23" spans="1:16" ht="15" customHeight="1">
      <c r="A23" s="207"/>
      <c r="B23" s="212" t="s">
        <v>92</v>
      </c>
      <c r="C23" s="213"/>
      <c r="D23" s="214"/>
      <c r="E23" s="25"/>
      <c r="F23" s="26" t="s">
        <v>30</v>
      </c>
      <c r="G23" s="27">
        <f>E23*21.1</f>
        <v>0</v>
      </c>
      <c r="H23" s="25"/>
      <c r="I23" s="26" t="s">
        <v>30</v>
      </c>
      <c r="J23" s="27">
        <f>H23*21.1</f>
        <v>0</v>
      </c>
      <c r="K23" s="28">
        <f t="shared" si="1"/>
        <v>0</v>
      </c>
      <c r="L23" s="29">
        <f>K23*0.011*44/12</f>
        <v>0</v>
      </c>
      <c r="M23" s="30">
        <v>21.1</v>
      </c>
      <c r="N23" s="31" t="s">
        <v>81</v>
      </c>
      <c r="P23" s="34"/>
    </row>
    <row r="24" spans="1:23" ht="15" customHeight="1">
      <c r="A24" s="207"/>
      <c r="B24" s="212" t="s">
        <v>93</v>
      </c>
      <c r="C24" s="213"/>
      <c r="D24" s="214"/>
      <c r="E24" s="25"/>
      <c r="F24" s="26" t="s">
        <v>30</v>
      </c>
      <c r="G24" s="35">
        <f>E24*3.41</f>
        <v>0</v>
      </c>
      <c r="H24" s="25"/>
      <c r="I24" s="26" t="s">
        <v>30</v>
      </c>
      <c r="J24" s="27">
        <f>H24*3.41</f>
        <v>0</v>
      </c>
      <c r="K24" s="28">
        <f t="shared" si="1"/>
        <v>0</v>
      </c>
      <c r="L24" s="29">
        <f>K24*0.0263*44/12</f>
        <v>0</v>
      </c>
      <c r="M24" s="36">
        <v>3.41</v>
      </c>
      <c r="N24" s="31" t="s">
        <v>81</v>
      </c>
      <c r="P24" s="220" t="s">
        <v>95</v>
      </c>
      <c r="Q24" s="221"/>
      <c r="R24" s="224" t="s">
        <v>96</v>
      </c>
      <c r="S24" s="226" t="s">
        <v>97</v>
      </c>
      <c r="T24" s="227"/>
      <c r="U24" s="230" t="s">
        <v>98</v>
      </c>
      <c r="V24" s="204" t="s">
        <v>99</v>
      </c>
      <c r="W24" s="232"/>
    </row>
    <row r="25" spans="1:23" ht="15" customHeight="1">
      <c r="A25" s="207"/>
      <c r="B25" s="212" t="s">
        <v>100</v>
      </c>
      <c r="C25" s="213"/>
      <c r="D25" s="214"/>
      <c r="E25" s="25"/>
      <c r="F25" s="26" t="s">
        <v>30</v>
      </c>
      <c r="G25" s="35">
        <f>E25*8.41</f>
        <v>0</v>
      </c>
      <c r="H25" s="25"/>
      <c r="I25" s="26" t="s">
        <v>30</v>
      </c>
      <c r="J25" s="27">
        <f>H25*8.41</f>
        <v>0</v>
      </c>
      <c r="K25" s="28">
        <f t="shared" si="1"/>
        <v>0</v>
      </c>
      <c r="L25" s="29">
        <f>K25*0.0384*44/12</f>
        <v>0</v>
      </c>
      <c r="M25" s="36">
        <v>8.41</v>
      </c>
      <c r="N25" s="31" t="s">
        <v>81</v>
      </c>
      <c r="P25" s="222"/>
      <c r="Q25" s="223"/>
      <c r="R25" s="225"/>
      <c r="S25" s="228"/>
      <c r="T25" s="229"/>
      <c r="U25" s="231"/>
      <c r="V25" s="205"/>
      <c r="W25" s="232"/>
    </row>
    <row r="26" spans="1:22" ht="15" customHeight="1">
      <c r="A26" s="207"/>
      <c r="B26" s="233" t="s">
        <v>42</v>
      </c>
      <c r="C26" s="209" t="s">
        <v>69</v>
      </c>
      <c r="D26" s="211"/>
      <c r="E26" s="25"/>
      <c r="F26" s="26" t="s">
        <v>30</v>
      </c>
      <c r="G26" s="27">
        <f>E26*M26</f>
        <v>0</v>
      </c>
      <c r="H26" s="25"/>
      <c r="I26" s="26" t="s">
        <v>30</v>
      </c>
      <c r="J26" s="27">
        <f>H26*M26</f>
        <v>0</v>
      </c>
      <c r="K26" s="28">
        <f t="shared" si="1"/>
        <v>0</v>
      </c>
      <c r="L26" s="29">
        <f>K26*0.0136*44/12</f>
        <v>0</v>
      </c>
      <c r="M26" s="37"/>
      <c r="N26" s="31" t="s">
        <v>81</v>
      </c>
      <c r="P26" s="235" t="s">
        <v>101</v>
      </c>
      <c r="Q26" s="236"/>
      <c r="R26" s="38"/>
      <c r="S26" s="237">
        <v>45</v>
      </c>
      <c r="T26" s="238"/>
      <c r="U26" s="39">
        <f aca="true" t="shared" si="2" ref="U26:U32">R26*S26</f>
        <v>0</v>
      </c>
      <c r="V26" s="40"/>
    </row>
    <row r="27" spans="1:22" ht="15" customHeight="1">
      <c r="A27" s="207"/>
      <c r="B27" s="234"/>
      <c r="C27" s="239" t="s">
        <v>102</v>
      </c>
      <c r="D27" s="240"/>
      <c r="E27" s="25"/>
      <c r="F27" s="41"/>
      <c r="G27" s="27">
        <f>E27*M27</f>
        <v>0</v>
      </c>
      <c r="H27" s="25"/>
      <c r="I27" s="41">
        <f>IF(F27=0,"",F27)</f>
      </c>
      <c r="J27" s="27">
        <f>H27*M27</f>
        <v>0</v>
      </c>
      <c r="K27" s="28">
        <f t="shared" si="1"/>
        <v>0</v>
      </c>
      <c r="L27" s="29">
        <f>K27*V16</f>
        <v>0</v>
      </c>
      <c r="M27" s="42"/>
      <c r="N27" s="41" t="s">
        <v>103</v>
      </c>
      <c r="P27" s="235" t="s">
        <v>104</v>
      </c>
      <c r="Q27" s="236"/>
      <c r="R27" s="38"/>
      <c r="S27" s="237">
        <v>45</v>
      </c>
      <c r="T27" s="238"/>
      <c r="U27" s="39">
        <f t="shared" si="2"/>
        <v>0</v>
      </c>
      <c r="V27" s="40"/>
    </row>
    <row r="28" spans="1:22" ht="15" customHeight="1">
      <c r="A28" s="208"/>
      <c r="B28" s="241" t="s">
        <v>105</v>
      </c>
      <c r="C28" s="242"/>
      <c r="D28" s="243"/>
      <c r="E28" s="43"/>
      <c r="F28" s="43"/>
      <c r="G28" s="44">
        <f>SUM(G4:G27)</f>
        <v>0</v>
      </c>
      <c r="H28" s="43"/>
      <c r="I28" s="43"/>
      <c r="J28" s="44">
        <f>SUM(J4:J27)</f>
        <v>0</v>
      </c>
      <c r="K28" s="44">
        <f>SUM(K4:K27)</f>
        <v>0</v>
      </c>
      <c r="L28" s="45">
        <f>SUM(L4:L27)</f>
        <v>0</v>
      </c>
      <c r="M28" s="46"/>
      <c r="N28" s="47"/>
      <c r="P28" s="235" t="s">
        <v>108</v>
      </c>
      <c r="Q28" s="236"/>
      <c r="R28" s="38"/>
      <c r="S28" s="237">
        <v>46</v>
      </c>
      <c r="T28" s="238"/>
      <c r="U28" s="39">
        <f t="shared" si="2"/>
        <v>0</v>
      </c>
      <c r="V28" s="40"/>
    </row>
    <row r="29" spans="1:22" ht="15" customHeight="1">
      <c r="A29" s="206" t="s">
        <v>109</v>
      </c>
      <c r="B29" s="212" t="s">
        <v>110</v>
      </c>
      <c r="C29" s="213"/>
      <c r="D29" s="214"/>
      <c r="E29" s="25"/>
      <c r="F29" s="26" t="s">
        <v>111</v>
      </c>
      <c r="G29" s="27">
        <f>E29*1.02</f>
        <v>0</v>
      </c>
      <c r="H29" s="25"/>
      <c r="I29" s="26" t="s">
        <v>111</v>
      </c>
      <c r="J29" s="27">
        <f>H29*1.02</f>
        <v>0</v>
      </c>
      <c r="K29" s="28">
        <f>+E29-H29</f>
        <v>0</v>
      </c>
      <c r="L29" s="29">
        <f>K29*0.06</f>
        <v>0</v>
      </c>
      <c r="M29" s="36">
        <v>1.02</v>
      </c>
      <c r="N29" s="31" t="s">
        <v>112</v>
      </c>
      <c r="P29" s="235" t="s">
        <v>113</v>
      </c>
      <c r="Q29" s="236"/>
      <c r="R29" s="38"/>
      <c r="S29" s="237">
        <v>62</v>
      </c>
      <c r="T29" s="238"/>
      <c r="U29" s="39">
        <f t="shared" si="2"/>
        <v>0</v>
      </c>
      <c r="V29" s="40"/>
    </row>
    <row r="30" spans="1:22" ht="15" customHeight="1">
      <c r="A30" s="207"/>
      <c r="B30" s="212" t="s">
        <v>25</v>
      </c>
      <c r="C30" s="213"/>
      <c r="D30" s="214"/>
      <c r="E30" s="25"/>
      <c r="F30" s="26" t="s">
        <v>111</v>
      </c>
      <c r="G30" s="27">
        <f>E30*1.36</f>
        <v>0</v>
      </c>
      <c r="H30" s="25"/>
      <c r="I30" s="26" t="s">
        <v>111</v>
      </c>
      <c r="J30" s="27">
        <f>H30*1.36</f>
        <v>0</v>
      </c>
      <c r="K30" s="28">
        <f>+E30-H30</f>
        <v>0</v>
      </c>
      <c r="L30" s="29">
        <f>K30*0.057</f>
        <v>0</v>
      </c>
      <c r="M30" s="36">
        <v>1.36</v>
      </c>
      <c r="N30" s="31" t="s">
        <v>112</v>
      </c>
      <c r="P30" s="235" t="s">
        <v>114</v>
      </c>
      <c r="Q30" s="236"/>
      <c r="R30" s="38"/>
      <c r="S30" s="237">
        <v>45</v>
      </c>
      <c r="T30" s="238"/>
      <c r="U30" s="39">
        <f t="shared" si="2"/>
        <v>0</v>
      </c>
      <c r="V30" s="40"/>
    </row>
    <row r="31" spans="1:22" ht="15" customHeight="1">
      <c r="A31" s="207"/>
      <c r="B31" s="212" t="s">
        <v>115</v>
      </c>
      <c r="C31" s="213"/>
      <c r="D31" s="214"/>
      <c r="E31" s="25"/>
      <c r="F31" s="26" t="s">
        <v>111</v>
      </c>
      <c r="G31" s="27">
        <f>E31*1.36</f>
        <v>0</v>
      </c>
      <c r="H31" s="25"/>
      <c r="I31" s="26" t="s">
        <v>111</v>
      </c>
      <c r="J31" s="27">
        <f>H31*1.36</f>
        <v>0</v>
      </c>
      <c r="K31" s="28">
        <f>+E31-H31</f>
        <v>0</v>
      </c>
      <c r="L31" s="29">
        <f>K31*0.057</f>
        <v>0</v>
      </c>
      <c r="M31" s="36">
        <v>1.36</v>
      </c>
      <c r="N31" s="31" t="s">
        <v>112</v>
      </c>
      <c r="P31" s="235" t="s">
        <v>8</v>
      </c>
      <c r="Q31" s="236"/>
      <c r="R31" s="38"/>
      <c r="S31" s="237">
        <v>45</v>
      </c>
      <c r="T31" s="238"/>
      <c r="U31" s="39">
        <f t="shared" si="2"/>
        <v>0</v>
      </c>
      <c r="V31" s="40"/>
    </row>
    <row r="32" spans="1:22" ht="15" customHeight="1">
      <c r="A32" s="207"/>
      <c r="B32" s="212" t="s">
        <v>116</v>
      </c>
      <c r="C32" s="213"/>
      <c r="D32" s="214"/>
      <c r="E32" s="25"/>
      <c r="F32" s="26" t="s">
        <v>111</v>
      </c>
      <c r="G32" s="27">
        <f>E32*1.36</f>
        <v>0</v>
      </c>
      <c r="H32" s="25"/>
      <c r="I32" s="26" t="s">
        <v>111</v>
      </c>
      <c r="J32" s="27">
        <f>H32*1.36</f>
        <v>0</v>
      </c>
      <c r="K32" s="28">
        <f>+E32-H32</f>
        <v>0</v>
      </c>
      <c r="L32" s="29">
        <f>K32*0.057</f>
        <v>0</v>
      </c>
      <c r="M32" s="36">
        <v>1.36</v>
      </c>
      <c r="N32" s="31" t="s">
        <v>112</v>
      </c>
      <c r="P32" s="235" t="s">
        <v>117</v>
      </c>
      <c r="Q32" s="236"/>
      <c r="R32" s="38"/>
      <c r="S32" s="237">
        <v>45</v>
      </c>
      <c r="T32" s="238"/>
      <c r="U32" s="39">
        <f t="shared" si="2"/>
        <v>0</v>
      </c>
      <c r="V32" s="40"/>
    </row>
    <row r="33" spans="1:22" ht="15" customHeight="1">
      <c r="A33" s="208"/>
      <c r="B33" s="241" t="s">
        <v>105</v>
      </c>
      <c r="C33" s="242"/>
      <c r="D33" s="243"/>
      <c r="E33" s="43"/>
      <c r="F33" s="43"/>
      <c r="G33" s="44">
        <f>SUM(G29:G32)</f>
        <v>0</v>
      </c>
      <c r="H33" s="43"/>
      <c r="I33" s="43"/>
      <c r="J33" s="44">
        <f>SUM(J29:J32)</f>
        <v>0</v>
      </c>
      <c r="K33" s="44">
        <f>SUM(K29:K32)</f>
        <v>0</v>
      </c>
      <c r="L33" s="45">
        <f>SUM(L29:L32)</f>
        <v>0</v>
      </c>
      <c r="M33" s="46"/>
      <c r="N33" s="47"/>
      <c r="P33" s="235" t="s">
        <v>16</v>
      </c>
      <c r="Q33" s="236"/>
      <c r="R33" s="38"/>
      <c r="S33" s="237">
        <v>45</v>
      </c>
      <c r="T33" s="238"/>
      <c r="U33" s="39">
        <f>R33*S33</f>
        <v>0</v>
      </c>
      <c r="V33" s="40"/>
    </row>
    <row r="34" spans="1:22" ht="15" customHeight="1">
      <c r="A34" s="206" t="s">
        <v>118</v>
      </c>
      <c r="B34" s="244" t="s">
        <v>107</v>
      </c>
      <c r="C34" s="209" t="s">
        <v>119</v>
      </c>
      <c r="D34" s="211"/>
      <c r="E34" s="25"/>
      <c r="F34" s="26" t="s">
        <v>18</v>
      </c>
      <c r="G34" s="27">
        <f>E34*9.97</f>
        <v>0</v>
      </c>
      <c r="H34" s="48"/>
      <c r="I34" s="26" t="s">
        <v>18</v>
      </c>
      <c r="J34" s="49"/>
      <c r="K34" s="50"/>
      <c r="L34" s="29">
        <f>E34*E43</f>
        <v>0</v>
      </c>
      <c r="M34" s="36">
        <v>9.97</v>
      </c>
      <c r="N34" s="31" t="s">
        <v>120</v>
      </c>
      <c r="P34" s="235" t="s">
        <v>121</v>
      </c>
      <c r="Q34" s="236"/>
      <c r="R34" s="38"/>
      <c r="S34" s="237">
        <v>45</v>
      </c>
      <c r="T34" s="238"/>
      <c r="U34" s="39">
        <f>R34*S34</f>
        <v>0</v>
      </c>
      <c r="V34" s="40"/>
    </row>
    <row r="35" spans="1:22" ht="15" customHeight="1">
      <c r="A35" s="207"/>
      <c r="B35" s="245"/>
      <c r="C35" s="209" t="s">
        <v>122</v>
      </c>
      <c r="D35" s="211"/>
      <c r="E35" s="25"/>
      <c r="F35" s="26" t="s">
        <v>18</v>
      </c>
      <c r="G35" s="27">
        <f>E35*9.28</f>
        <v>0</v>
      </c>
      <c r="H35" s="48"/>
      <c r="I35" s="26" t="s">
        <v>18</v>
      </c>
      <c r="J35" s="51"/>
      <c r="K35" s="50"/>
      <c r="L35" s="29">
        <f>E35*E43</f>
        <v>0</v>
      </c>
      <c r="M35" s="36">
        <v>9.28</v>
      </c>
      <c r="N35" s="31" t="s">
        <v>120</v>
      </c>
      <c r="P35" s="235" t="s">
        <v>54</v>
      </c>
      <c r="Q35" s="236"/>
      <c r="R35" s="38"/>
      <c r="S35" s="237">
        <v>45</v>
      </c>
      <c r="T35" s="238"/>
      <c r="U35" s="39">
        <f>R35*S35</f>
        <v>0</v>
      </c>
      <c r="V35" s="40"/>
    </row>
    <row r="36" spans="1:22" ht="15" customHeight="1">
      <c r="A36" s="207"/>
      <c r="B36" s="217" t="s">
        <v>51</v>
      </c>
      <c r="C36" s="209" t="s">
        <v>123</v>
      </c>
      <c r="D36" s="211"/>
      <c r="E36" s="25"/>
      <c r="F36" s="26" t="s">
        <v>18</v>
      </c>
      <c r="G36" s="27">
        <f>E36*9.76</f>
        <v>0</v>
      </c>
      <c r="H36" s="48"/>
      <c r="I36" s="26" t="s">
        <v>18</v>
      </c>
      <c r="J36" s="52"/>
      <c r="K36" s="53"/>
      <c r="L36" s="29">
        <f>E36*E44</f>
        <v>0</v>
      </c>
      <c r="M36" s="36">
        <v>9.76</v>
      </c>
      <c r="N36" s="31" t="s">
        <v>120</v>
      </c>
      <c r="P36" s="235" t="s">
        <v>124</v>
      </c>
      <c r="Q36" s="236"/>
      <c r="R36" s="38"/>
      <c r="S36" s="237">
        <v>45</v>
      </c>
      <c r="T36" s="238"/>
      <c r="U36" s="39">
        <f>R36*S36</f>
        <v>0</v>
      </c>
      <c r="V36" s="40"/>
    </row>
    <row r="37" spans="1:22" ht="15" customHeight="1">
      <c r="A37" s="207"/>
      <c r="B37" s="219"/>
      <c r="C37" s="209" t="s">
        <v>125</v>
      </c>
      <c r="D37" s="211"/>
      <c r="E37" s="25"/>
      <c r="F37" s="26" t="s">
        <v>18</v>
      </c>
      <c r="G37" s="54"/>
      <c r="H37" s="25"/>
      <c r="I37" s="26" t="s">
        <v>18</v>
      </c>
      <c r="J37" s="55"/>
      <c r="K37" s="55"/>
      <c r="L37" s="29">
        <f>IF(H37=0,0,(H37*-H43))</f>
        <v>0</v>
      </c>
      <c r="M37" s="56"/>
      <c r="N37" s="57"/>
      <c r="P37" s="235" t="s">
        <v>126</v>
      </c>
      <c r="Q37" s="236"/>
      <c r="R37" s="38"/>
      <c r="S37" s="246"/>
      <c r="T37" s="247"/>
      <c r="U37" s="39">
        <f>R37*S37</f>
        <v>0</v>
      </c>
      <c r="V37" s="40"/>
    </row>
    <row r="38" spans="1:24" ht="15" customHeight="1">
      <c r="A38" s="208"/>
      <c r="B38" s="58" t="s">
        <v>105</v>
      </c>
      <c r="C38" s="59"/>
      <c r="D38" s="59"/>
      <c r="E38" s="43"/>
      <c r="F38" s="43"/>
      <c r="G38" s="60">
        <f>SUM(G34:G36)</f>
        <v>0</v>
      </c>
      <c r="H38" s="43"/>
      <c r="I38" s="43"/>
      <c r="J38" s="61"/>
      <c r="K38" s="61"/>
      <c r="L38" s="62">
        <f>SUM(L34:L37)</f>
        <v>0</v>
      </c>
      <c r="M38" s="63"/>
      <c r="N38" s="47"/>
      <c r="P38" s="248" t="s">
        <v>32</v>
      </c>
      <c r="Q38" s="249"/>
      <c r="R38" s="64">
        <f>SUM(R26:R37)</f>
        <v>0</v>
      </c>
      <c r="S38" s="250"/>
      <c r="T38" s="251"/>
      <c r="U38" s="65">
        <f>SUM(U26:U37)</f>
        <v>0</v>
      </c>
      <c r="V38" s="66" t="e">
        <f>ROUND(U38/R38,5)</f>
        <v>#DIV/0!</v>
      </c>
      <c r="W38" s="19"/>
      <c r="X38" s="19"/>
    </row>
    <row r="39" spans="1:24" ht="15" customHeight="1">
      <c r="A39" s="252" t="s">
        <v>127</v>
      </c>
      <c r="B39" s="253"/>
      <c r="C39" s="253"/>
      <c r="D39" s="254"/>
      <c r="E39" s="67"/>
      <c r="F39" s="68"/>
      <c r="G39" s="69">
        <f>G28+G33+G38</f>
        <v>0</v>
      </c>
      <c r="H39" s="70"/>
      <c r="I39" s="68"/>
      <c r="J39" s="71">
        <f>J28+J33</f>
        <v>0</v>
      </c>
      <c r="K39" s="69">
        <f>K28+K33</f>
        <v>0</v>
      </c>
      <c r="L39" s="72">
        <f>ROUNDDOWN(L28+L33+L38,0)</f>
        <v>0</v>
      </c>
      <c r="M39" s="73"/>
      <c r="N39" s="74"/>
      <c r="P39" s="19"/>
      <c r="Q39" s="19"/>
      <c r="R39" s="19"/>
      <c r="S39" s="19"/>
      <c r="T39" s="19"/>
      <c r="U39" s="19"/>
      <c r="V39" s="19"/>
      <c r="W39" s="19"/>
      <c r="X39" s="19"/>
    </row>
    <row r="40" spans="1:24" s="19" customFormat="1" ht="15" customHeight="1">
      <c r="A40" s="75"/>
      <c r="B40" s="75"/>
      <c r="C40" s="76"/>
      <c r="D40" s="76"/>
      <c r="E40" s="77"/>
      <c r="F40" s="78"/>
      <c r="G40" s="79"/>
      <c r="H40" s="77"/>
      <c r="I40" s="78"/>
      <c r="J40" s="79"/>
      <c r="K40" s="79"/>
      <c r="L40" s="80"/>
      <c r="P40" s="18"/>
      <c r="Q40" s="18"/>
      <c r="R40" s="18"/>
      <c r="S40" s="18"/>
      <c r="T40" s="18"/>
      <c r="U40" s="18"/>
      <c r="V40" s="18"/>
      <c r="W40" s="18"/>
      <c r="X40" s="18"/>
    </row>
    <row r="41" spans="1:24" s="19" customFormat="1" ht="15" customHeight="1">
      <c r="A41" s="252" t="s">
        <v>128</v>
      </c>
      <c r="B41" s="253"/>
      <c r="C41" s="253"/>
      <c r="D41" s="253"/>
      <c r="E41" s="253"/>
      <c r="F41" s="255"/>
      <c r="G41" s="69">
        <f>G39*0.0258</f>
        <v>0</v>
      </c>
      <c r="H41" s="78"/>
      <c r="I41" s="78"/>
      <c r="J41" s="79"/>
      <c r="K41" s="79"/>
      <c r="L41" s="80"/>
      <c r="P41" s="81"/>
      <c r="Q41" s="18"/>
      <c r="R41" s="18"/>
      <c r="S41" s="18"/>
      <c r="T41" s="18"/>
      <c r="U41" s="18"/>
      <c r="V41" s="18"/>
      <c r="W41" s="18"/>
      <c r="X41" s="18"/>
    </row>
    <row r="42" spans="1:12" ht="13.5" customHeight="1">
      <c r="A42" s="75"/>
      <c r="B42" s="75"/>
      <c r="C42" s="75"/>
      <c r="D42" s="75"/>
      <c r="E42" s="78"/>
      <c r="F42" s="78"/>
      <c r="G42" s="82"/>
      <c r="H42" s="82"/>
      <c r="I42" s="78"/>
      <c r="J42" s="78"/>
      <c r="K42" s="78"/>
      <c r="L42" s="80"/>
    </row>
    <row r="43" spans="1:12" ht="39" customHeight="1">
      <c r="A43" s="75"/>
      <c r="B43" s="256" t="s">
        <v>129</v>
      </c>
      <c r="C43" s="258" t="s">
        <v>130</v>
      </c>
      <c r="D43" s="259"/>
      <c r="E43" s="83"/>
      <c r="F43" s="78"/>
      <c r="G43" s="260" t="s">
        <v>131</v>
      </c>
      <c r="H43" s="262"/>
      <c r="I43" s="84"/>
      <c r="J43" s="78"/>
      <c r="K43" s="78"/>
      <c r="L43" s="80"/>
    </row>
    <row r="44" spans="1:12" ht="39" customHeight="1">
      <c r="A44" s="75"/>
      <c r="B44" s="257"/>
      <c r="C44" s="201" t="s">
        <v>51</v>
      </c>
      <c r="D44" s="203"/>
      <c r="E44" s="83"/>
      <c r="F44" s="78"/>
      <c r="G44" s="261"/>
      <c r="H44" s="263"/>
      <c r="I44" s="78"/>
      <c r="J44" s="78"/>
      <c r="K44" s="78"/>
      <c r="L44" s="80"/>
    </row>
    <row r="45" spans="1:10" ht="15" customHeight="1">
      <c r="A45" s="85" t="s">
        <v>132</v>
      </c>
      <c r="B45" s="85"/>
      <c r="G45" s="86"/>
      <c r="H45" s="86"/>
      <c r="I45" s="86"/>
      <c r="J45" s="86"/>
    </row>
    <row r="46" spans="1:10" ht="15" customHeight="1">
      <c r="A46" s="87" t="s">
        <v>133</v>
      </c>
      <c r="B46" s="87"/>
      <c r="C46" s="85"/>
      <c r="G46" s="86"/>
      <c r="H46" s="86"/>
      <c r="I46" s="86"/>
      <c r="J46" s="86"/>
    </row>
    <row r="47" spans="1:16" ht="13.5">
      <c r="A47" s="87" t="s">
        <v>59</v>
      </c>
      <c r="B47" s="88"/>
      <c r="C47" s="88"/>
      <c r="D47" s="88"/>
      <c r="E47" s="88"/>
      <c r="F47" s="88"/>
      <c r="G47" s="88"/>
      <c r="H47" s="88"/>
      <c r="I47" s="88"/>
      <c r="P47" s="34"/>
    </row>
    <row r="48" spans="1:23" ht="13.5" customHeight="1">
      <c r="A48" s="87" t="s">
        <v>134</v>
      </c>
      <c r="B48" s="88"/>
      <c r="C48" s="88"/>
      <c r="D48" s="88"/>
      <c r="E48" s="88"/>
      <c r="F48" s="88"/>
      <c r="G48" s="88"/>
      <c r="H48" s="88"/>
      <c r="I48" s="88"/>
      <c r="P48" s="220" t="s">
        <v>135</v>
      </c>
      <c r="Q48" s="221"/>
      <c r="R48" s="224" t="s">
        <v>96</v>
      </c>
      <c r="S48" s="226" t="s">
        <v>136</v>
      </c>
      <c r="T48" s="227"/>
      <c r="U48" s="230" t="s">
        <v>138</v>
      </c>
      <c r="V48" s="204" t="s">
        <v>99</v>
      </c>
      <c r="W48" s="232"/>
    </row>
    <row r="49" spans="1:23" ht="13.5">
      <c r="A49" s="87" t="s">
        <v>139</v>
      </c>
      <c r="B49" s="89"/>
      <c r="C49" s="90"/>
      <c r="D49" s="90"/>
      <c r="E49" s="90"/>
      <c r="F49" s="90"/>
      <c r="G49" s="90"/>
      <c r="H49" s="90"/>
      <c r="I49" s="90"/>
      <c r="J49" s="19"/>
      <c r="K49" s="19"/>
      <c r="P49" s="222"/>
      <c r="Q49" s="223"/>
      <c r="R49" s="225"/>
      <c r="S49" s="228"/>
      <c r="T49" s="229"/>
      <c r="U49" s="231"/>
      <c r="V49" s="205"/>
      <c r="W49" s="232"/>
    </row>
    <row r="50" spans="1:22" ht="13.5">
      <c r="A50" s="87"/>
      <c r="B50" s="87" t="s">
        <v>140</v>
      </c>
      <c r="C50" s="88"/>
      <c r="D50" s="88"/>
      <c r="E50" s="88"/>
      <c r="F50" s="88"/>
      <c r="G50" s="88"/>
      <c r="H50" s="88"/>
      <c r="I50" s="88"/>
      <c r="P50" s="235" t="s">
        <v>141</v>
      </c>
      <c r="Q50" s="236"/>
      <c r="R50" s="38"/>
      <c r="S50" s="264"/>
      <c r="T50" s="265"/>
      <c r="U50" s="39">
        <f aca="true" t="shared" si="3" ref="U50:U61">R50*S50</f>
        <v>0</v>
      </c>
      <c r="V50" s="40"/>
    </row>
    <row r="51" spans="9:22" ht="13.5" customHeight="1">
      <c r="I51" s="19"/>
      <c r="P51" s="235" t="s">
        <v>142</v>
      </c>
      <c r="Q51" s="236"/>
      <c r="R51" s="38"/>
      <c r="S51" s="264"/>
      <c r="T51" s="265"/>
      <c r="U51" s="39">
        <f t="shared" si="3"/>
        <v>0</v>
      </c>
      <c r="V51" s="40"/>
    </row>
    <row r="52" spans="1:22" ht="13.5">
      <c r="A52" s="95" t="s">
        <v>182</v>
      </c>
      <c r="I52" s="19"/>
      <c r="J52" s="91" t="s">
        <v>137</v>
      </c>
      <c r="K52" s="92"/>
      <c r="L52" s="92"/>
      <c r="P52" s="235"/>
      <c r="Q52" s="236"/>
      <c r="R52" s="38"/>
      <c r="S52" s="264"/>
      <c r="T52" s="265"/>
      <c r="U52" s="39">
        <f t="shared" si="3"/>
        <v>0</v>
      </c>
      <c r="V52" s="40"/>
    </row>
    <row r="53" spans="2:22" ht="13.5" customHeight="1">
      <c r="B53" s="88" t="s">
        <v>145</v>
      </c>
      <c r="E53" s="18">
        <v>0.475</v>
      </c>
      <c r="J53" t="s">
        <v>101</v>
      </c>
      <c r="K53" s="93"/>
      <c r="L53" s="93">
        <v>45</v>
      </c>
      <c r="M53" s="93"/>
      <c r="P53" s="235"/>
      <c r="Q53" s="236"/>
      <c r="R53" s="38"/>
      <c r="S53" s="264"/>
      <c r="T53" s="265"/>
      <c r="U53" s="39">
        <f t="shared" si="3"/>
        <v>0</v>
      </c>
      <c r="V53" s="40"/>
    </row>
    <row r="54" spans="2:22" ht="13.5" customHeight="1">
      <c r="B54" s="88" t="s">
        <v>146</v>
      </c>
      <c r="E54" s="18">
        <v>0.476</v>
      </c>
      <c r="J54" t="s">
        <v>104</v>
      </c>
      <c r="K54" s="93"/>
      <c r="L54" s="93">
        <v>45</v>
      </c>
      <c r="M54" s="93"/>
      <c r="P54" s="235"/>
      <c r="Q54" s="236"/>
      <c r="R54" s="38"/>
      <c r="S54" s="264"/>
      <c r="T54" s="265"/>
      <c r="U54" s="39">
        <f t="shared" si="3"/>
        <v>0</v>
      </c>
      <c r="V54" s="40"/>
    </row>
    <row r="55" spans="2:22" ht="13.5" customHeight="1">
      <c r="B55" s="88" t="s">
        <v>147</v>
      </c>
      <c r="E55" s="18">
        <v>0.539</v>
      </c>
      <c r="J55" t="s">
        <v>108</v>
      </c>
      <c r="K55" s="93"/>
      <c r="L55" s="93">
        <v>46</v>
      </c>
      <c r="M55" s="93"/>
      <c r="P55" s="235"/>
      <c r="Q55" s="236"/>
      <c r="R55" s="38"/>
      <c r="S55" s="264"/>
      <c r="T55" s="265"/>
      <c r="U55" s="39">
        <f t="shared" si="3"/>
        <v>0</v>
      </c>
      <c r="V55" s="40"/>
    </row>
    <row r="56" spans="2:22" ht="13.5" customHeight="1">
      <c r="B56" s="88" t="s">
        <v>185</v>
      </c>
      <c r="E56" s="18">
        <v>0.527</v>
      </c>
      <c r="J56" t="s">
        <v>113</v>
      </c>
      <c r="K56" s="93"/>
      <c r="L56" s="93">
        <v>62</v>
      </c>
      <c r="M56" s="93"/>
      <c r="P56" s="235"/>
      <c r="Q56" s="236"/>
      <c r="R56" s="38"/>
      <c r="S56" s="264"/>
      <c r="T56" s="265"/>
      <c r="U56" s="39">
        <f t="shared" si="3"/>
        <v>0</v>
      </c>
      <c r="V56" s="40"/>
    </row>
    <row r="57" spans="2:22" ht="13.5" customHeight="1">
      <c r="B57" s="88" t="s">
        <v>149</v>
      </c>
      <c r="E57" s="18">
        <v>0.41</v>
      </c>
      <c r="J57" t="s">
        <v>114</v>
      </c>
      <c r="K57" s="93"/>
      <c r="L57" s="93">
        <v>45</v>
      </c>
      <c r="M57" s="93"/>
      <c r="P57" s="235"/>
      <c r="Q57" s="236"/>
      <c r="R57" s="38"/>
      <c r="S57" s="264"/>
      <c r="T57" s="265"/>
      <c r="U57" s="39">
        <f t="shared" si="3"/>
        <v>0</v>
      </c>
      <c r="V57" s="40"/>
    </row>
    <row r="58" spans="2:22" ht="13.5" customHeight="1">
      <c r="B58" s="88" t="s">
        <v>150</v>
      </c>
      <c r="E58" s="18">
        <v>0.423</v>
      </c>
      <c r="J58" t="s">
        <v>8</v>
      </c>
      <c r="K58" s="93"/>
      <c r="L58" s="93">
        <v>45</v>
      </c>
      <c r="M58" s="93"/>
      <c r="P58" s="235"/>
      <c r="Q58" s="236"/>
      <c r="R58" s="38"/>
      <c r="S58" s="264"/>
      <c r="T58" s="265"/>
      <c r="U58" s="39">
        <f t="shared" si="3"/>
        <v>0</v>
      </c>
      <c r="V58" s="40"/>
    </row>
    <row r="59" spans="2:22" ht="13.5" customHeight="1">
      <c r="B59" s="88" t="s">
        <v>151</v>
      </c>
      <c r="E59" s="18">
        <v>0.502</v>
      </c>
      <c r="J59" t="s">
        <v>117</v>
      </c>
      <c r="K59" s="93"/>
      <c r="L59" s="93">
        <v>45</v>
      </c>
      <c r="M59" s="93"/>
      <c r="P59" s="235"/>
      <c r="Q59" s="236"/>
      <c r="R59" s="38"/>
      <c r="S59" s="264"/>
      <c r="T59" s="265"/>
      <c r="U59" s="39">
        <f t="shared" si="3"/>
        <v>0</v>
      </c>
      <c r="V59" s="40"/>
    </row>
    <row r="60" spans="2:22" ht="13.5" customHeight="1">
      <c r="B60" s="319" t="s">
        <v>183</v>
      </c>
      <c r="E60" s="18">
        <v>0.39</v>
      </c>
      <c r="J60" t="s">
        <v>16</v>
      </c>
      <c r="K60" s="93"/>
      <c r="L60" s="93">
        <v>45</v>
      </c>
      <c r="M60" s="93"/>
      <c r="P60" s="235"/>
      <c r="Q60" s="236"/>
      <c r="R60" s="38"/>
      <c r="S60" s="264"/>
      <c r="T60" s="265"/>
      <c r="U60" s="39">
        <f t="shared" si="3"/>
        <v>0</v>
      </c>
      <c r="V60" s="40"/>
    </row>
    <row r="61" spans="2:22" ht="13.5" customHeight="1">
      <c r="B61" s="88" t="s">
        <v>154</v>
      </c>
      <c r="E61" s="18">
        <v>0.434</v>
      </c>
      <c r="J61" t="s">
        <v>121</v>
      </c>
      <c r="K61" s="93"/>
      <c r="L61" s="93">
        <v>45</v>
      </c>
      <c r="M61" s="93"/>
      <c r="P61" s="235"/>
      <c r="Q61" s="236"/>
      <c r="R61" s="38"/>
      <c r="S61" s="264"/>
      <c r="T61" s="265"/>
      <c r="U61" s="39">
        <f t="shared" si="3"/>
        <v>0</v>
      </c>
      <c r="V61" s="40"/>
    </row>
    <row r="62" spans="2:24" ht="13.5" customHeight="1">
      <c r="B62" s="88" t="s">
        <v>155</v>
      </c>
      <c r="E62" s="18">
        <v>0.39</v>
      </c>
      <c r="J62" t="s">
        <v>54</v>
      </c>
      <c r="K62" s="93"/>
      <c r="L62" s="93">
        <v>45</v>
      </c>
      <c r="M62" s="93"/>
      <c r="P62" s="248" t="s">
        <v>32</v>
      </c>
      <c r="Q62" s="249"/>
      <c r="R62" s="64">
        <f>SUM(R50:R61)</f>
        <v>0</v>
      </c>
      <c r="S62" s="250"/>
      <c r="T62" s="251"/>
      <c r="U62" s="65">
        <f>SUM(U50:U61)</f>
        <v>0</v>
      </c>
      <c r="V62" s="66" t="e">
        <f>ROUND(U62/R62,5)</f>
        <v>#DIV/0!</v>
      </c>
      <c r="W62" s="19"/>
      <c r="X62" s="19"/>
    </row>
    <row r="63" spans="2:24" ht="13.5">
      <c r="B63" s="88" t="s">
        <v>156</v>
      </c>
      <c r="E63" s="18">
        <v>0.517</v>
      </c>
      <c r="J63" s="94" t="s">
        <v>124</v>
      </c>
      <c r="K63" s="93"/>
      <c r="L63" s="93">
        <v>45</v>
      </c>
      <c r="P63" s="19"/>
      <c r="Q63" s="19"/>
      <c r="R63" s="19"/>
      <c r="S63" s="19"/>
      <c r="T63" s="19"/>
      <c r="U63" s="19"/>
      <c r="V63" s="19"/>
      <c r="W63" s="19"/>
      <c r="X63" s="19"/>
    </row>
    <row r="64" spans="2:5" ht="13.5">
      <c r="B64" s="88" t="s">
        <v>157</v>
      </c>
      <c r="E64" s="18">
        <v>0.522</v>
      </c>
    </row>
    <row r="65" spans="2:16" ht="13.5">
      <c r="B65" s="88" t="s">
        <v>158</v>
      </c>
      <c r="E65" s="18">
        <v>0.481</v>
      </c>
      <c r="J65" s="18" t="s">
        <v>159</v>
      </c>
      <c r="P65" s="81"/>
    </row>
    <row r="66" spans="2:10" ht="13.5">
      <c r="B66" s="18" t="s">
        <v>160</v>
      </c>
      <c r="E66" s="18">
        <v>0.409</v>
      </c>
      <c r="J66" s="18" t="s">
        <v>161</v>
      </c>
    </row>
    <row r="67" spans="2:5" ht="13.5">
      <c r="B67" s="18" t="s">
        <v>162</v>
      </c>
      <c r="E67" s="18">
        <v>0.337</v>
      </c>
    </row>
    <row r="68" spans="2:12" ht="14.25" thickBot="1">
      <c r="B68" s="18" t="s">
        <v>163</v>
      </c>
      <c r="E68" s="18">
        <v>0.29</v>
      </c>
      <c r="I68" s="95" t="s">
        <v>164</v>
      </c>
      <c r="J68" s="95"/>
      <c r="K68" s="95"/>
      <c r="L68" s="95"/>
    </row>
    <row r="69" spans="2:12" ht="15" thickBot="1" thickTop="1">
      <c r="B69" s="18" t="s">
        <v>71</v>
      </c>
      <c r="E69" s="18">
        <v>0.582</v>
      </c>
      <c r="I69" s="266" t="s">
        <v>165</v>
      </c>
      <c r="J69" s="267"/>
      <c r="K69" s="268"/>
      <c r="L69" s="96" t="e">
        <f>N97/L71</f>
        <v>#DIV/0!</v>
      </c>
    </row>
    <row r="70" spans="2:5" ht="14.25" thickTop="1">
      <c r="B70" s="18" t="s">
        <v>166</v>
      </c>
      <c r="E70" s="18">
        <v>0.507</v>
      </c>
    </row>
    <row r="71" spans="2:13" ht="13.5">
      <c r="B71" s="18" t="s">
        <v>167</v>
      </c>
      <c r="E71" s="18">
        <v>0.521</v>
      </c>
      <c r="I71" s="212" t="s">
        <v>168</v>
      </c>
      <c r="J71" s="213"/>
      <c r="K71" s="214"/>
      <c r="L71" s="97">
        <f>E37+H37</f>
        <v>0</v>
      </c>
      <c r="M71" s="22" t="s">
        <v>169</v>
      </c>
    </row>
    <row r="72" spans="2:9" ht="13.5">
      <c r="B72" s="18" t="s">
        <v>144</v>
      </c>
      <c r="I72" s="18" t="s">
        <v>170</v>
      </c>
    </row>
    <row r="73" spans="2:14" ht="13.5">
      <c r="B73" s="98" t="s">
        <v>184</v>
      </c>
      <c r="I73" s="209" t="s">
        <v>66</v>
      </c>
      <c r="J73" s="210"/>
      <c r="K73" s="211"/>
      <c r="L73" s="25"/>
      <c r="M73" s="26" t="s">
        <v>67</v>
      </c>
      <c r="N73" s="18">
        <f>ROUND(L73*M4*0.0187*44/12,0)</f>
        <v>0</v>
      </c>
    </row>
    <row r="74" spans="2:14" ht="13.5">
      <c r="B74" s="95" t="s">
        <v>186</v>
      </c>
      <c r="I74" s="209" t="s">
        <v>46</v>
      </c>
      <c r="J74" s="210"/>
      <c r="K74" s="211"/>
      <c r="L74" s="25"/>
      <c r="M74" s="26" t="s">
        <v>67</v>
      </c>
      <c r="N74" s="18">
        <f>ROUND(L74*M5*0.0184*44/12,0)</f>
        <v>0</v>
      </c>
    </row>
    <row r="75" spans="2:14" ht="13.5">
      <c r="B75" s="99"/>
      <c r="I75" s="209" t="s">
        <v>68</v>
      </c>
      <c r="J75" s="210"/>
      <c r="K75" s="211"/>
      <c r="L75" s="25"/>
      <c r="M75" s="26" t="s">
        <v>67</v>
      </c>
      <c r="N75" s="18">
        <f>ROUND(L75*M6*0.0183*44/12,0)</f>
        <v>0</v>
      </c>
    </row>
    <row r="76" spans="1:14" ht="13.5">
      <c r="A76" s="91" t="s">
        <v>143</v>
      </c>
      <c r="B76" s="92"/>
      <c r="C76" s="92"/>
      <c r="D76" s="92"/>
      <c r="E76" s="92"/>
      <c r="F76" s="92"/>
      <c r="G76" s="92"/>
      <c r="I76" s="209" t="s">
        <v>15</v>
      </c>
      <c r="J76" s="210"/>
      <c r="K76" s="211"/>
      <c r="L76" s="25"/>
      <c r="M76" s="26" t="s">
        <v>67</v>
      </c>
      <c r="N76" s="18">
        <f>ROUND(L76*M7*0.0182*44/12,0)</f>
        <v>0</v>
      </c>
    </row>
    <row r="77" spans="1:14" ht="13.5">
      <c r="A77" s="92"/>
      <c r="B77" s="92" t="s">
        <v>145</v>
      </c>
      <c r="C77" s="92"/>
      <c r="D77" s="92"/>
      <c r="E77" s="92">
        <v>0.486</v>
      </c>
      <c r="F77" s="92"/>
      <c r="G77" s="92"/>
      <c r="I77" s="212" t="s">
        <v>72</v>
      </c>
      <c r="J77" s="213"/>
      <c r="K77" s="214"/>
      <c r="L77" s="25"/>
      <c r="M77" s="26" t="s">
        <v>67</v>
      </c>
      <c r="N77" s="18">
        <f>ROUND(L77*M8*0.0185*44/12,0)</f>
        <v>0</v>
      </c>
    </row>
    <row r="78" spans="1:14" ht="13.5">
      <c r="A78" s="92"/>
      <c r="B78" s="92" t="s">
        <v>146</v>
      </c>
      <c r="C78" s="92"/>
      <c r="D78" s="92"/>
      <c r="E78" s="92">
        <v>0.485</v>
      </c>
      <c r="F78" s="92"/>
      <c r="G78" s="92"/>
      <c r="I78" s="212" t="s">
        <v>73</v>
      </c>
      <c r="J78" s="213"/>
      <c r="K78" s="214"/>
      <c r="L78" s="25"/>
      <c r="M78" s="26" t="s">
        <v>67</v>
      </c>
      <c r="N78" s="18">
        <f>ROUND(L78*M9*0.0187*44/12,0)</f>
        <v>0</v>
      </c>
    </row>
    <row r="79" spans="1:14" ht="13.5">
      <c r="A79" s="92"/>
      <c r="B79" s="92" t="s">
        <v>147</v>
      </c>
      <c r="C79" s="92"/>
      <c r="D79" s="92"/>
      <c r="E79" s="92">
        <v>0.501</v>
      </c>
      <c r="F79" s="92"/>
      <c r="G79" s="92"/>
      <c r="I79" s="212" t="s">
        <v>38</v>
      </c>
      <c r="J79" s="213"/>
      <c r="K79" s="214"/>
      <c r="L79" s="25"/>
      <c r="M79" s="26" t="s">
        <v>67</v>
      </c>
      <c r="N79" s="18">
        <f>ROUND(L79*M10*0.0189*44/12,0)</f>
        <v>0</v>
      </c>
    </row>
    <row r="80" spans="1:14" ht="13.5">
      <c r="A80" s="92"/>
      <c r="B80" s="92" t="s">
        <v>148</v>
      </c>
      <c r="C80" s="92"/>
      <c r="D80" s="92"/>
      <c r="E80" s="92">
        <v>0.57</v>
      </c>
      <c r="F80" s="92"/>
      <c r="G80" s="92"/>
      <c r="I80" s="212" t="s">
        <v>70</v>
      </c>
      <c r="J80" s="213"/>
      <c r="K80" s="214"/>
      <c r="L80" s="25"/>
      <c r="M80" s="26" t="s">
        <v>67</v>
      </c>
      <c r="N80" s="18">
        <f>ROUND(L80*M11*0.0195*44/12,0)</f>
        <v>0</v>
      </c>
    </row>
    <row r="81" spans="1:14" ht="13.5">
      <c r="A81" s="92"/>
      <c r="B81" s="92" t="s">
        <v>149</v>
      </c>
      <c r="C81" s="92"/>
      <c r="D81" s="92"/>
      <c r="E81" s="92">
        <v>0.493</v>
      </c>
      <c r="F81" s="92"/>
      <c r="G81" s="92"/>
      <c r="I81" s="212" t="s">
        <v>74</v>
      </c>
      <c r="J81" s="213"/>
      <c r="K81" s="214"/>
      <c r="L81" s="25"/>
      <c r="M81" s="26" t="s">
        <v>75</v>
      </c>
      <c r="N81" s="18">
        <f>ROUND(L81*M12*0.0208*44/12,0)</f>
        <v>0</v>
      </c>
    </row>
    <row r="82" spans="1:14" ht="13.5">
      <c r="A82" s="92"/>
      <c r="B82" s="92" t="s">
        <v>150</v>
      </c>
      <c r="C82" s="92"/>
      <c r="D82" s="92"/>
      <c r="E82" s="92">
        <v>0.405</v>
      </c>
      <c r="F82" s="92"/>
      <c r="G82" s="92"/>
      <c r="I82" s="212" t="s">
        <v>77</v>
      </c>
      <c r="J82" s="213"/>
      <c r="K82" s="214"/>
      <c r="L82" s="25"/>
      <c r="M82" s="26" t="s">
        <v>75</v>
      </c>
      <c r="N82" s="18">
        <f>ROUND(L82*M13*0.0254*44/12,0)</f>
        <v>0</v>
      </c>
    </row>
    <row r="83" spans="1:14" ht="13.5">
      <c r="A83" s="92"/>
      <c r="B83" s="92" t="s">
        <v>151</v>
      </c>
      <c r="C83" s="92"/>
      <c r="D83" s="92"/>
      <c r="E83" s="92">
        <v>0.476</v>
      </c>
      <c r="F83" s="92"/>
      <c r="G83" s="92"/>
      <c r="I83" s="215" t="s">
        <v>78</v>
      </c>
      <c r="J83" s="209" t="s">
        <v>79</v>
      </c>
      <c r="K83" s="211"/>
      <c r="L83" s="25"/>
      <c r="M83" s="26" t="s">
        <v>75</v>
      </c>
      <c r="N83" s="18">
        <f>ROUND(L83*M14*0.0161*44/12,0)</f>
        <v>0</v>
      </c>
    </row>
    <row r="84" spans="1:14" ht="13.5">
      <c r="A84" s="92"/>
      <c r="B84" s="92" t="s">
        <v>153</v>
      </c>
      <c r="C84" s="92"/>
      <c r="D84" s="92"/>
      <c r="E84" s="92">
        <v>0.592</v>
      </c>
      <c r="F84" s="92"/>
      <c r="G84" s="92"/>
      <c r="I84" s="216"/>
      <c r="J84" s="209" t="s">
        <v>80</v>
      </c>
      <c r="K84" s="211"/>
      <c r="L84" s="25"/>
      <c r="M84" s="26" t="s">
        <v>30</v>
      </c>
      <c r="N84" s="18">
        <f>ROUND(L84*M15*0.0142*44/12,0)</f>
        <v>0</v>
      </c>
    </row>
    <row r="85" spans="1:14" ht="13.5">
      <c r="A85" s="92"/>
      <c r="B85" s="92" t="s">
        <v>154</v>
      </c>
      <c r="C85" s="92"/>
      <c r="D85" s="92"/>
      <c r="E85" s="92">
        <v>0.464</v>
      </c>
      <c r="F85" s="92"/>
      <c r="G85" s="92"/>
      <c r="I85" s="215" t="s">
        <v>82</v>
      </c>
      <c r="J85" s="209" t="s">
        <v>83</v>
      </c>
      <c r="K85" s="211"/>
      <c r="L85" s="25"/>
      <c r="M85" s="26" t="s">
        <v>75</v>
      </c>
      <c r="N85" s="18">
        <f>ROUND(L85*M16*0.0135*44/12,0)</f>
        <v>0</v>
      </c>
    </row>
    <row r="86" spans="1:14" ht="13.5">
      <c r="A86" s="92"/>
      <c r="B86" s="92" t="s">
        <v>155</v>
      </c>
      <c r="C86" s="92"/>
      <c r="D86" s="92"/>
      <c r="E86" s="92">
        <v>0.401</v>
      </c>
      <c r="F86" s="92"/>
      <c r="G86" s="92"/>
      <c r="I86" s="216"/>
      <c r="J86" s="209" t="s">
        <v>85</v>
      </c>
      <c r="K86" s="211"/>
      <c r="L86" s="25"/>
      <c r="M86" s="26" t="s">
        <v>30</v>
      </c>
      <c r="N86" s="18">
        <f>ROUND(L86*M17*0.0139*44/12,0)</f>
        <v>0</v>
      </c>
    </row>
    <row r="87" spans="1:14" ht="13.5">
      <c r="A87" s="92"/>
      <c r="B87" s="92" t="s">
        <v>156</v>
      </c>
      <c r="C87" s="92"/>
      <c r="D87" s="92"/>
      <c r="E87" s="92">
        <v>0.591</v>
      </c>
      <c r="F87" s="92"/>
      <c r="G87" s="92"/>
      <c r="I87" s="217" t="s">
        <v>87</v>
      </c>
      <c r="J87" s="209" t="s">
        <v>88</v>
      </c>
      <c r="K87" s="211"/>
      <c r="L87" s="25"/>
      <c r="M87" s="26" t="s">
        <v>75</v>
      </c>
      <c r="N87" s="18">
        <f>ROUND(L87*M18*0.0245*44/12,0)</f>
        <v>0</v>
      </c>
    </row>
    <row r="88" spans="1:14" ht="13.5">
      <c r="A88" s="92"/>
      <c r="B88" s="92" t="s">
        <v>157</v>
      </c>
      <c r="C88" s="92"/>
      <c r="D88" s="92"/>
      <c r="E88" s="92">
        <v>0.491</v>
      </c>
      <c r="F88" s="92"/>
      <c r="G88" s="92"/>
      <c r="I88" s="218"/>
      <c r="J88" s="209" t="s">
        <v>89</v>
      </c>
      <c r="K88" s="211"/>
      <c r="L88" s="25"/>
      <c r="M88" s="26" t="s">
        <v>75</v>
      </c>
      <c r="N88" s="18">
        <f>ROUND(L88*M19*0.0247*44/12,0)</f>
        <v>0</v>
      </c>
    </row>
    <row r="89" spans="1:14" ht="13.5">
      <c r="A89" s="92"/>
      <c r="B89" s="92" t="s">
        <v>158</v>
      </c>
      <c r="C89" s="92"/>
      <c r="D89" s="92"/>
      <c r="E89" s="92">
        <v>0.487</v>
      </c>
      <c r="F89" s="92"/>
      <c r="G89" s="92"/>
      <c r="I89" s="219"/>
      <c r="J89" s="209" t="s">
        <v>33</v>
      </c>
      <c r="K89" s="211"/>
      <c r="L89" s="25"/>
      <c r="M89" s="26" t="s">
        <v>75</v>
      </c>
      <c r="N89" s="18">
        <f>ROUND(L89*M20*0.0255*44/12,0)</f>
        <v>0</v>
      </c>
    </row>
    <row r="90" spans="1:14" ht="13.5">
      <c r="A90" s="92"/>
      <c r="B90" s="92" t="s">
        <v>160</v>
      </c>
      <c r="C90" s="92"/>
      <c r="D90" s="92"/>
      <c r="E90" s="92">
        <v>0.362</v>
      </c>
      <c r="F90" s="92"/>
      <c r="G90" s="92"/>
      <c r="I90" s="212" t="s">
        <v>3</v>
      </c>
      <c r="J90" s="213"/>
      <c r="K90" s="214"/>
      <c r="L90" s="25"/>
      <c r="M90" s="26" t="s">
        <v>75</v>
      </c>
      <c r="N90" s="18">
        <f>ROUND(L90*M21*0.0294*44/12,0)</f>
        <v>0</v>
      </c>
    </row>
    <row r="91" spans="1:14" ht="13.5">
      <c r="A91" s="92"/>
      <c r="B91" s="92" t="s">
        <v>162</v>
      </c>
      <c r="C91" s="92"/>
      <c r="D91" s="92"/>
      <c r="E91" s="92">
        <v>0.535</v>
      </c>
      <c r="F91" s="92"/>
      <c r="G91" s="92"/>
      <c r="I91" s="212" t="s">
        <v>91</v>
      </c>
      <c r="J91" s="213"/>
      <c r="K91" s="214"/>
      <c r="L91" s="25"/>
      <c r="M91" s="26" t="s">
        <v>75</v>
      </c>
      <c r="N91" s="18">
        <f>ROUND(L91*M22*0.0209*44/12,0)</f>
        <v>0</v>
      </c>
    </row>
    <row r="92" spans="1:14" ht="13.5">
      <c r="A92" s="92"/>
      <c r="B92" s="92" t="s">
        <v>163</v>
      </c>
      <c r="C92" s="92"/>
      <c r="D92" s="92"/>
      <c r="E92" s="92">
        <v>0.387</v>
      </c>
      <c r="F92" s="92"/>
      <c r="G92" s="92"/>
      <c r="I92" s="212" t="s">
        <v>92</v>
      </c>
      <c r="J92" s="213"/>
      <c r="K92" s="214"/>
      <c r="L92" s="25"/>
      <c r="M92" s="26" t="s">
        <v>30</v>
      </c>
      <c r="N92" s="18">
        <f>ROUND(L92*M23*0.011*44/12,0)</f>
        <v>0</v>
      </c>
    </row>
    <row r="93" spans="1:14" ht="13.5">
      <c r="A93" s="92"/>
      <c r="B93" s="92" t="s">
        <v>71</v>
      </c>
      <c r="C93" s="92"/>
      <c r="D93" s="92"/>
      <c r="E93" s="92">
        <v>0.809</v>
      </c>
      <c r="F93" s="92"/>
      <c r="G93" s="92"/>
      <c r="I93" s="212" t="s">
        <v>93</v>
      </c>
      <c r="J93" s="213"/>
      <c r="K93" s="214"/>
      <c r="L93" s="25"/>
      <c r="M93" s="26" t="s">
        <v>30</v>
      </c>
      <c r="N93" s="18">
        <f>ROUND(L93*M24*0.0263*44/12,0)</f>
        <v>0</v>
      </c>
    </row>
    <row r="94" spans="1:14" ht="13.5">
      <c r="A94" s="92"/>
      <c r="B94" s="92" t="s">
        <v>166</v>
      </c>
      <c r="C94" s="92"/>
      <c r="D94" s="92"/>
      <c r="E94" s="92">
        <v>0.466</v>
      </c>
      <c r="F94" s="92"/>
      <c r="G94" s="92"/>
      <c r="I94" s="212" t="s">
        <v>100</v>
      </c>
      <c r="J94" s="213"/>
      <c r="K94" s="214"/>
      <c r="L94" s="25"/>
      <c r="M94" s="26" t="s">
        <v>30</v>
      </c>
      <c r="N94" s="18">
        <f>ROUND(L94*M25*0.0384*44/12,0)</f>
        <v>0</v>
      </c>
    </row>
    <row r="95" spans="1:14" ht="13.5">
      <c r="A95" s="92"/>
      <c r="B95" s="92" t="s">
        <v>167</v>
      </c>
      <c r="C95" s="92"/>
      <c r="D95" s="92"/>
      <c r="E95" s="92">
        <v>0.57</v>
      </c>
      <c r="F95" s="92"/>
      <c r="G95" s="92"/>
      <c r="I95" s="233" t="s">
        <v>42</v>
      </c>
      <c r="J95" s="209" t="s">
        <v>69</v>
      </c>
      <c r="K95" s="211"/>
      <c r="L95" s="25"/>
      <c r="M95" s="26" t="s">
        <v>30</v>
      </c>
      <c r="N95" s="18">
        <f>ROUND(L95*M26*0.0136*44/12,0)</f>
        <v>0</v>
      </c>
    </row>
    <row r="96" spans="1:14" ht="13.5">
      <c r="A96" s="92"/>
      <c r="B96" s="92" t="s">
        <v>144</v>
      </c>
      <c r="C96" s="92"/>
      <c r="D96" s="92"/>
      <c r="E96" s="92"/>
      <c r="F96" s="92"/>
      <c r="G96" s="92"/>
      <c r="I96" s="234"/>
      <c r="J96" s="239" t="s">
        <v>102</v>
      </c>
      <c r="K96" s="240"/>
      <c r="L96" s="25"/>
      <c r="M96" s="26" t="s">
        <v>30</v>
      </c>
      <c r="N96" s="18">
        <f>ROUND(L96*M27*0.0136*44/12,0)</f>
        <v>0</v>
      </c>
    </row>
    <row r="97" spans="2:14" ht="13.5">
      <c r="B97" s="98" t="s">
        <v>171</v>
      </c>
      <c r="N97" s="18">
        <f>SUM(N73:N96)</f>
        <v>0</v>
      </c>
    </row>
    <row r="98" ht="13.5">
      <c r="B98" s="95" t="s">
        <v>172</v>
      </c>
    </row>
    <row r="99" ht="13.5">
      <c r="B99" s="99"/>
    </row>
    <row r="100" ht="13.5">
      <c r="A100" s="95" t="s">
        <v>181</v>
      </c>
    </row>
    <row r="101" spans="2:5" ht="13.5">
      <c r="B101" s="88" t="s">
        <v>145</v>
      </c>
      <c r="E101" s="18">
        <v>0.5</v>
      </c>
    </row>
    <row r="102" spans="2:5" ht="13.5">
      <c r="B102" s="88" t="s">
        <v>146</v>
      </c>
      <c r="E102" s="18">
        <v>0.486</v>
      </c>
    </row>
    <row r="103" spans="2:5" ht="13.5">
      <c r="B103" s="88" t="s">
        <v>147</v>
      </c>
      <c r="E103" s="18">
        <v>0.555</v>
      </c>
    </row>
    <row r="104" spans="2:5" ht="13.5">
      <c r="B104" s="88" t="s">
        <v>148</v>
      </c>
      <c r="E104" s="18">
        <v>0.489</v>
      </c>
    </row>
    <row r="105" spans="2:5" ht="13.5">
      <c r="B105" s="88" t="s">
        <v>149</v>
      </c>
      <c r="E105" s="18">
        <v>0.364</v>
      </c>
    </row>
    <row r="106" spans="2:5" ht="13.5">
      <c r="B106" s="88" t="s">
        <v>150</v>
      </c>
      <c r="E106" s="18">
        <v>0.418</v>
      </c>
    </row>
    <row r="107" spans="2:5" ht="13.5">
      <c r="B107" s="88" t="s">
        <v>151</v>
      </c>
      <c r="E107" s="18">
        <v>0.48</v>
      </c>
    </row>
    <row r="108" spans="2:5" ht="13.5">
      <c r="B108" s="88" t="s">
        <v>153</v>
      </c>
      <c r="E108" s="18">
        <v>0.517</v>
      </c>
    </row>
    <row r="109" spans="2:5" ht="13.5">
      <c r="B109" s="88" t="s">
        <v>154</v>
      </c>
      <c r="E109" s="18">
        <v>0.262</v>
      </c>
    </row>
    <row r="110" spans="2:5" ht="13.5">
      <c r="B110" s="88" t="s">
        <v>155</v>
      </c>
      <c r="E110" s="18">
        <v>0.379</v>
      </c>
    </row>
    <row r="111" spans="2:5" ht="13.5">
      <c r="B111" s="88" t="s">
        <v>156</v>
      </c>
      <c r="E111" s="18">
        <v>0.397</v>
      </c>
    </row>
    <row r="112" spans="2:5" ht="13.5">
      <c r="B112" s="88" t="s">
        <v>173</v>
      </c>
      <c r="E112" s="18">
        <v>0.513</v>
      </c>
    </row>
    <row r="113" spans="2:5" ht="13.5">
      <c r="B113" s="88" t="s">
        <v>158</v>
      </c>
      <c r="E113" s="18">
        <v>0.32</v>
      </c>
    </row>
    <row r="114" spans="2:5" ht="13.5">
      <c r="B114" s="18" t="s">
        <v>160</v>
      </c>
      <c r="E114" s="18">
        <v>0.411</v>
      </c>
    </row>
    <row r="115" spans="2:5" ht="13.5">
      <c r="B115" s="18" t="s">
        <v>162</v>
      </c>
      <c r="E115" s="18">
        <v>0.495</v>
      </c>
    </row>
    <row r="116" spans="2:5" ht="13.5">
      <c r="B116" s="18" t="s">
        <v>163</v>
      </c>
      <c r="E116" s="18">
        <v>0.255</v>
      </c>
    </row>
    <row r="117" spans="2:5" ht="13.5">
      <c r="B117" s="18" t="s">
        <v>71</v>
      </c>
      <c r="E117" s="18">
        <v>0.508</v>
      </c>
    </row>
    <row r="118" spans="2:5" ht="13.5">
      <c r="B118" s="18" t="s">
        <v>166</v>
      </c>
      <c r="E118" s="18">
        <v>0.384</v>
      </c>
    </row>
    <row r="119" spans="2:5" ht="13.5">
      <c r="B119" s="18" t="s">
        <v>167</v>
      </c>
      <c r="E119" s="18">
        <v>0.548</v>
      </c>
    </row>
    <row r="120" ht="13.5">
      <c r="B120" s="18" t="s">
        <v>144</v>
      </c>
    </row>
    <row r="121" ht="13.5">
      <c r="B121" s="98" t="s">
        <v>174</v>
      </c>
    </row>
    <row r="122" ht="13.5">
      <c r="B122" s="95" t="s">
        <v>152</v>
      </c>
    </row>
  </sheetData>
  <sheetProtection formatCells="0" formatColumns="0" formatRows="0" insertColumns="0" insertRows="0" deleteColumns="0" deleteRows="0"/>
  <mergeCells count="150">
    <mergeCell ref="I94:K94"/>
    <mergeCell ref="I95:I96"/>
    <mergeCell ref="J95:K95"/>
    <mergeCell ref="J96:K96"/>
    <mergeCell ref="I90:K90"/>
    <mergeCell ref="I91:K91"/>
    <mergeCell ref="I92:K92"/>
    <mergeCell ref="I93:K93"/>
    <mergeCell ref="I87:I89"/>
    <mergeCell ref="J87:K87"/>
    <mergeCell ref="J88:K88"/>
    <mergeCell ref="J89:K89"/>
    <mergeCell ref="I83:I84"/>
    <mergeCell ref="J83:K83"/>
    <mergeCell ref="J84:K84"/>
    <mergeCell ref="I85:I86"/>
    <mergeCell ref="J85:K85"/>
    <mergeCell ref="J86:K86"/>
    <mergeCell ref="I79:K79"/>
    <mergeCell ref="I80:K80"/>
    <mergeCell ref="I81:K81"/>
    <mergeCell ref="I82:K82"/>
    <mergeCell ref="I75:K75"/>
    <mergeCell ref="I76:K76"/>
    <mergeCell ref="I77:K77"/>
    <mergeCell ref="I78:K78"/>
    <mergeCell ref="I69:K69"/>
    <mergeCell ref="I71:K71"/>
    <mergeCell ref="I73:K73"/>
    <mergeCell ref="I74:K74"/>
    <mergeCell ref="P61:Q61"/>
    <mergeCell ref="S61:T61"/>
    <mergeCell ref="P62:Q62"/>
    <mergeCell ref="S62:T62"/>
    <mergeCell ref="P59:Q59"/>
    <mergeCell ref="S59:T59"/>
    <mergeCell ref="P60:Q60"/>
    <mergeCell ref="S60:T60"/>
    <mergeCell ref="P57:Q57"/>
    <mergeCell ref="S57:T57"/>
    <mergeCell ref="P58:Q58"/>
    <mergeCell ref="S58:T58"/>
    <mergeCell ref="P55:Q55"/>
    <mergeCell ref="S55:T55"/>
    <mergeCell ref="P56:Q56"/>
    <mergeCell ref="S56:T56"/>
    <mergeCell ref="P53:Q53"/>
    <mergeCell ref="S53:T53"/>
    <mergeCell ref="P54:Q54"/>
    <mergeCell ref="S54:T54"/>
    <mergeCell ref="P51:Q51"/>
    <mergeCell ref="S51:T51"/>
    <mergeCell ref="P52:Q52"/>
    <mergeCell ref="S52:T52"/>
    <mergeCell ref="V48:V49"/>
    <mergeCell ref="W48:W49"/>
    <mergeCell ref="P50:Q50"/>
    <mergeCell ref="S50:T50"/>
    <mergeCell ref="P48:Q49"/>
    <mergeCell ref="R48:R49"/>
    <mergeCell ref="S48:T49"/>
    <mergeCell ref="U48:U49"/>
    <mergeCell ref="B43:B44"/>
    <mergeCell ref="C43:D43"/>
    <mergeCell ref="G43:G44"/>
    <mergeCell ref="H43:H44"/>
    <mergeCell ref="C44:D44"/>
    <mergeCell ref="P38:Q38"/>
    <mergeCell ref="S38:T38"/>
    <mergeCell ref="A39:D39"/>
    <mergeCell ref="A41:F41"/>
    <mergeCell ref="S35:T35"/>
    <mergeCell ref="B36:B37"/>
    <mergeCell ref="C36:D36"/>
    <mergeCell ref="P36:Q36"/>
    <mergeCell ref="S36:T36"/>
    <mergeCell ref="C37:D37"/>
    <mergeCell ref="P37:Q37"/>
    <mergeCell ref="S37:T37"/>
    <mergeCell ref="B33:D33"/>
    <mergeCell ref="P33:Q33"/>
    <mergeCell ref="S33:T33"/>
    <mergeCell ref="A34:A38"/>
    <mergeCell ref="B34:B35"/>
    <mergeCell ref="C34:D34"/>
    <mergeCell ref="P34:Q34"/>
    <mergeCell ref="S34:T34"/>
    <mergeCell ref="C35:D35"/>
    <mergeCell ref="P35:Q35"/>
    <mergeCell ref="B31:D31"/>
    <mergeCell ref="P31:Q31"/>
    <mergeCell ref="S31:T31"/>
    <mergeCell ref="B32:D32"/>
    <mergeCell ref="P32:Q32"/>
    <mergeCell ref="S32:T32"/>
    <mergeCell ref="B28:D28"/>
    <mergeCell ref="P28:Q28"/>
    <mergeCell ref="S28:T28"/>
    <mergeCell ref="A29:A33"/>
    <mergeCell ref="B29:D29"/>
    <mergeCell ref="P29:Q29"/>
    <mergeCell ref="S29:T29"/>
    <mergeCell ref="B30:D30"/>
    <mergeCell ref="P30:Q30"/>
    <mergeCell ref="S30:T30"/>
    <mergeCell ref="V24:V25"/>
    <mergeCell ref="W24:W25"/>
    <mergeCell ref="B25:D25"/>
    <mergeCell ref="B26:B27"/>
    <mergeCell ref="C26:D26"/>
    <mergeCell ref="P26:Q26"/>
    <mergeCell ref="S26:T26"/>
    <mergeCell ref="C27:D27"/>
    <mergeCell ref="P27:Q27"/>
    <mergeCell ref="S27:T27"/>
    <mergeCell ref="P24:Q25"/>
    <mergeCell ref="R24:R25"/>
    <mergeCell ref="S24:T25"/>
    <mergeCell ref="U24:U25"/>
    <mergeCell ref="B21:D21"/>
    <mergeCell ref="B22:D22"/>
    <mergeCell ref="B23:D23"/>
    <mergeCell ref="B24:D24"/>
    <mergeCell ref="B16:B17"/>
    <mergeCell ref="C16:D16"/>
    <mergeCell ref="C17:D17"/>
    <mergeCell ref="B18:B20"/>
    <mergeCell ref="C18:D18"/>
    <mergeCell ref="C19:D19"/>
    <mergeCell ref="C20:D20"/>
    <mergeCell ref="B11:D11"/>
    <mergeCell ref="B12:D12"/>
    <mergeCell ref="B13:D13"/>
    <mergeCell ref="B14:B15"/>
    <mergeCell ref="C14:D14"/>
    <mergeCell ref="C15:D15"/>
    <mergeCell ref="L2:L3"/>
    <mergeCell ref="M2:N2"/>
    <mergeCell ref="A4:A28"/>
    <mergeCell ref="B4:D4"/>
    <mergeCell ref="B5:D5"/>
    <mergeCell ref="B6:D6"/>
    <mergeCell ref="B7:D7"/>
    <mergeCell ref="B8:D8"/>
    <mergeCell ref="B9:D9"/>
    <mergeCell ref="B10:D10"/>
    <mergeCell ref="A2:D3"/>
    <mergeCell ref="E2:G2"/>
    <mergeCell ref="H2:J2"/>
    <mergeCell ref="K2:K3"/>
  </mergeCells>
  <dataValidations count="14">
    <dataValidation errorStyle="information" type="list" allowBlank="1" showInputMessage="1" showErrorMessage="1" prompt="ドロップダウンリスト（▼）から購入している電力会社が公表している電気の排出係数を選択&#10;※リストは表示ページ外（下）参照。&#10;※リストにない場合はリンク先を参照し、手入力。&#10;※複数ある場合は、表示ページ外（右）参照。" error="ドロップダウンリストに事業者がない場合やリストの値と異なる値を使用する場合は、手入力してください" sqref="E43">
      <formula1>$E$53:$E$71</formula1>
    </dataValidation>
    <dataValidation allowBlank="1" showInputMessage="1" showErrorMessage="1" prompt="自動計算" sqref="G4:G39 L4:L39 J4:K33 J39:K39"/>
    <dataValidation allowBlank="1" showInputMessage="1" showErrorMessage="1" prompt="固定値" sqref="M4:M25 M28:M36"/>
    <dataValidation errorStyle="warning" type="list" allowBlank="1" showInputMessage="1" showErrorMessage="1" prompt="ドロップダウンリスト（▼）から都市ガス事業者ごとの単位発熱量を選択&#10;※リストは表示ページ外（下）を参照&#10;※リストにない場合は手入力&#10;※複数ある場合は表示ページ外（右）を参照" error="ドロップダウンリストに取扱事業者がない場合やリストの値と異なる値を使用する場合は、手入力してください" sqref="M26">
      <formula1>$L$54:$L$56</formula1>
    </dataValidation>
    <dataValidation allowBlank="1" showInputMessage="1" showErrorMessage="1" prompt="燃料ごとの単位発熱量を入力してください" sqref="M27"/>
    <dataValidation allowBlank="1" showInputMessage="1" showErrorMessage="1" prompt="上記以外の燃料を使用している場合、その種類を記入" sqref="C27:D27 J96"/>
    <dataValidation allowBlank="1" showInputMessage="1" showErrorMessage="1" prompt="省エネ法の算定過程において算出される排出係数を入力してください&#10;※計算する場合は、表示ページ外（下）参照" sqref="H43:H44"/>
    <dataValidation allowBlank="1" showInputMessage="1" showErrorMessage="1" prompt="自動計算&#10;※１事業所単位で1,500klを超えた場合に提出対象（１号）となります。なお、1,500kl未満の場合も、任意で提出が可能です。&#10;このほか、２～４号に該当する場合も、提出対象となります。" sqref="G41"/>
    <dataValidation allowBlank="1" showInputMessage="1" showErrorMessage="1" prompt="該当エネルギーを使用した場合、記入" sqref="H29:H32 E4:E27 H4:H27 L73:L96 E29:E32 E34:E36"/>
    <dataValidation errorStyle="information" allowBlank="1" showInputMessage="1" showErrorMessage="1" prompt="電気事業者以外から電気を購入している場合の電力の排出係数を記入&#10;（不明の場合は、代替値　0.587を入力）" error="ドロップダウンリスト（▼）から、該当する係数を選択&#10;※該当する係数がない場合は、手入力" sqref="E44"/>
    <dataValidation allowBlank="1" showInputMessage="1" showErrorMessage="1" prompt="該当エネルギーを使用した場合、記入&#10;※非化石燃料（太陽光等）により発電した電気は含まない" sqref="E37 H37"/>
    <dataValidation allowBlank="1" showInputMessage="1" showErrorMessage="1" prompt="ここの値を③欄に転記してください。" sqref="L69"/>
    <dataValidation allowBlank="1" showInputMessage="1" showErrorMessage="1" prompt="燃料の単位を入力" sqref="F27 N27 I27"/>
    <dataValidation allowBlank="1" showInputMessage="1" showErrorMessage="1" prompt="契約しているガス会社の単位発熱量を入力してください" sqref="S37:T37"/>
  </dataValidations>
  <hyperlinks>
    <hyperlink ref="B97" r:id="rId1" display="http://www.env.go.jp/press/104919.html"/>
    <hyperlink ref="B73" r:id="rId2" display="https://ghg-santeikohyo.env.go.jp/files/calc/h31_coefficient.pdf"/>
  </hyperlinks>
  <printOptions/>
  <pageMargins left="0.3937007874015748" right="0.2362204724409449" top="0.984251968503937" bottom="0.984251968503937" header="0.5118110236220472" footer="0.5118110236220472"/>
  <pageSetup cellComments="asDisplayed" horizontalDpi="600" verticalDpi="600" orientation="portrait" paperSize="9" scale="72" r:id="rId4"/>
  <drawing r:id="rId3"/>
</worksheet>
</file>

<file path=xl/worksheets/sheet3.xml><?xml version="1.0" encoding="utf-8"?>
<worksheet xmlns="http://schemas.openxmlformats.org/spreadsheetml/2006/main" xmlns:r="http://schemas.openxmlformats.org/officeDocument/2006/relationships">
  <sheetPr>
    <tabColor indexed="15"/>
  </sheetPr>
  <dimension ref="A1:AA105"/>
  <sheetViews>
    <sheetView view="pageBreakPreview" zoomScaleSheetLayoutView="100" workbookViewId="0" topLeftCell="A40">
      <selection activeCell="E44" sqref="E44"/>
    </sheetView>
  </sheetViews>
  <sheetFormatPr defaultColWidth="9.00390625" defaultRowHeight="13.5"/>
  <cols>
    <col min="1" max="1" width="3.625" style="100" customWidth="1"/>
    <col min="2" max="2" width="11.125" style="100" customWidth="1"/>
    <col min="3" max="3" width="12.625" style="100" customWidth="1"/>
    <col min="4" max="4" width="7.25390625" style="100" customWidth="1"/>
    <col min="5" max="5" width="10.00390625" style="100" customWidth="1"/>
    <col min="6" max="6" width="6.625" style="100" customWidth="1"/>
    <col min="7" max="7" width="11.375" style="100" customWidth="1"/>
    <col min="8" max="8" width="10.00390625" style="100" customWidth="1"/>
    <col min="9" max="9" width="6.625" style="100" customWidth="1"/>
    <col min="10" max="10" width="10.375" style="100" customWidth="1"/>
    <col min="11" max="11" width="10.625" style="100" customWidth="1"/>
    <col min="12" max="12" width="9.875" style="100" customWidth="1"/>
    <col min="13" max="13" width="9.125" style="100" bestFit="1" customWidth="1"/>
    <col min="14" max="14" width="9.00390625" style="100" bestFit="1" customWidth="1"/>
    <col min="15" max="16" width="10.00390625" style="100" customWidth="1"/>
    <col min="17" max="17" width="8.875" style="100" customWidth="1"/>
    <col min="18" max="16384" width="9.00390625" style="100" bestFit="1" customWidth="1"/>
  </cols>
  <sheetData>
    <row r="1" ht="18.75">
      <c r="A1" s="20" t="s">
        <v>175</v>
      </c>
    </row>
    <row r="2" spans="1:17" ht="15" customHeight="1">
      <c r="A2" s="269" t="s">
        <v>60</v>
      </c>
      <c r="B2" s="269"/>
      <c r="C2" s="269"/>
      <c r="D2" s="269"/>
      <c r="E2" s="270" t="s">
        <v>62</v>
      </c>
      <c r="F2" s="271"/>
      <c r="G2" s="272"/>
      <c r="H2" s="270" t="s">
        <v>63</v>
      </c>
      <c r="I2" s="271"/>
      <c r="J2" s="272"/>
      <c r="K2" s="273" t="s">
        <v>53</v>
      </c>
      <c r="L2" s="275" t="s">
        <v>106</v>
      </c>
      <c r="M2" s="269" t="s">
        <v>61</v>
      </c>
      <c r="N2" s="269"/>
      <c r="O2" s="277" t="s">
        <v>176</v>
      </c>
      <c r="P2" s="277"/>
      <c r="Q2" s="277"/>
    </row>
    <row r="3" spans="1:17" ht="64.5" customHeight="1">
      <c r="A3" s="269"/>
      <c r="B3" s="269"/>
      <c r="C3" s="269"/>
      <c r="D3" s="269"/>
      <c r="E3" s="103" t="s">
        <v>52</v>
      </c>
      <c r="F3" s="102" t="s">
        <v>64</v>
      </c>
      <c r="G3" s="103" t="s">
        <v>4</v>
      </c>
      <c r="H3" s="103" t="s">
        <v>24</v>
      </c>
      <c r="I3" s="102" t="s">
        <v>64</v>
      </c>
      <c r="J3" s="103" t="s">
        <v>50</v>
      </c>
      <c r="K3" s="274"/>
      <c r="L3" s="276"/>
      <c r="M3" s="104" t="s">
        <v>36</v>
      </c>
      <c r="N3" s="8" t="s">
        <v>64</v>
      </c>
      <c r="O3" s="105" t="s">
        <v>177</v>
      </c>
      <c r="P3" s="105" t="s">
        <v>94</v>
      </c>
      <c r="Q3" s="105" t="s">
        <v>178</v>
      </c>
    </row>
    <row r="4" spans="1:17" ht="15" customHeight="1">
      <c r="A4" s="278" t="s">
        <v>14</v>
      </c>
      <c r="B4" s="280" t="s">
        <v>66</v>
      </c>
      <c r="C4" s="280"/>
      <c r="D4" s="280"/>
      <c r="E4" s="106"/>
      <c r="F4" s="107" t="s">
        <v>67</v>
      </c>
      <c r="G4" s="108">
        <f>ROUND(E4*38.2,1)</f>
        <v>0</v>
      </c>
      <c r="H4" s="106"/>
      <c r="I4" s="107" t="s">
        <v>67</v>
      </c>
      <c r="J4" s="109">
        <f>ROUND(H4*38.2,1)</f>
        <v>0</v>
      </c>
      <c r="K4" s="110">
        <f aca="true" t="shared" si="0" ref="K4:K13">G4-J4</f>
        <v>0</v>
      </c>
      <c r="L4" s="111">
        <f>ROUND(K4*0.0187*44/12,0)</f>
        <v>0</v>
      </c>
      <c r="M4" s="112">
        <v>38.2</v>
      </c>
      <c r="N4" s="113" t="s">
        <v>65</v>
      </c>
      <c r="O4" s="114">
        <f>E4-'基準年度の温室効果ガス計算シート'!E4</f>
        <v>0</v>
      </c>
      <c r="P4" s="114">
        <f>H4-'基準年度の温室効果ガス計算シート'!H4</f>
        <v>0</v>
      </c>
      <c r="Q4" s="114">
        <f>K4-'基準年度の温室効果ガス計算シート'!K4</f>
        <v>0</v>
      </c>
    </row>
    <row r="5" spans="1:17" ht="15" customHeight="1">
      <c r="A5" s="279"/>
      <c r="B5" s="280" t="s">
        <v>46</v>
      </c>
      <c r="C5" s="280"/>
      <c r="D5" s="280"/>
      <c r="E5" s="106"/>
      <c r="F5" s="107" t="s">
        <v>67</v>
      </c>
      <c r="G5" s="108">
        <f>ROUND(E5*35.3,1)</f>
        <v>0</v>
      </c>
      <c r="H5" s="106"/>
      <c r="I5" s="107" t="s">
        <v>67</v>
      </c>
      <c r="J5" s="109">
        <f>ROUND(H5*35.3,1)</f>
        <v>0</v>
      </c>
      <c r="K5" s="110">
        <f t="shared" si="0"/>
        <v>0</v>
      </c>
      <c r="L5" s="111">
        <f>ROUND(K5*0.0184*44/12,0)</f>
        <v>0</v>
      </c>
      <c r="M5" s="112">
        <v>35.3</v>
      </c>
      <c r="N5" s="113" t="s">
        <v>65</v>
      </c>
      <c r="O5" s="114">
        <f>E5-'基準年度の温室効果ガス計算シート'!E5</f>
        <v>0</v>
      </c>
      <c r="P5" s="114">
        <f>H5-'基準年度の温室効果ガス計算シート'!H5</f>
        <v>0</v>
      </c>
      <c r="Q5" s="114">
        <f>K5-'基準年度の温室効果ガス計算シート'!K5</f>
        <v>0</v>
      </c>
    </row>
    <row r="6" spans="1:17" ht="15" customHeight="1">
      <c r="A6" s="279"/>
      <c r="B6" s="280" t="s">
        <v>68</v>
      </c>
      <c r="C6" s="280"/>
      <c r="D6" s="280"/>
      <c r="E6" s="106"/>
      <c r="F6" s="107" t="s">
        <v>67</v>
      </c>
      <c r="G6" s="108">
        <f>ROUND(E6*34.6,1)</f>
        <v>0</v>
      </c>
      <c r="H6" s="106"/>
      <c r="I6" s="107" t="s">
        <v>67</v>
      </c>
      <c r="J6" s="109">
        <f>ROUND(H6*34.6,1)</f>
        <v>0</v>
      </c>
      <c r="K6" s="110">
        <f t="shared" si="0"/>
        <v>0</v>
      </c>
      <c r="L6" s="111">
        <f>ROUND(K6*0.0183*44/12,0)</f>
        <v>0</v>
      </c>
      <c r="M6" s="112">
        <v>34.6</v>
      </c>
      <c r="N6" s="113" t="s">
        <v>65</v>
      </c>
      <c r="O6" s="114">
        <f>E6-'基準年度の温室効果ガス計算シート'!E6</f>
        <v>0</v>
      </c>
      <c r="P6" s="114">
        <f>H6-'基準年度の温室効果ガス計算シート'!H6</f>
        <v>0</v>
      </c>
      <c r="Q6" s="114">
        <f>K6-'基準年度の温室効果ガス計算シート'!K6</f>
        <v>0</v>
      </c>
    </row>
    <row r="7" spans="1:17" ht="15" customHeight="1">
      <c r="A7" s="279"/>
      <c r="B7" s="280" t="s">
        <v>15</v>
      </c>
      <c r="C7" s="280"/>
      <c r="D7" s="280"/>
      <c r="E7" s="106"/>
      <c r="F7" s="107" t="s">
        <v>67</v>
      </c>
      <c r="G7" s="108">
        <f>ROUND(E7*33.6,1)</f>
        <v>0</v>
      </c>
      <c r="H7" s="106"/>
      <c r="I7" s="107" t="s">
        <v>67</v>
      </c>
      <c r="J7" s="109">
        <f>ROUND(H7*33.6,1)</f>
        <v>0</v>
      </c>
      <c r="K7" s="110">
        <f t="shared" si="0"/>
        <v>0</v>
      </c>
      <c r="L7" s="111">
        <f>ROUND(K7*0.0182*44/12,0)</f>
        <v>0</v>
      </c>
      <c r="M7" s="115">
        <v>33.6</v>
      </c>
      <c r="N7" s="113" t="s">
        <v>65</v>
      </c>
      <c r="O7" s="114">
        <f>E7-'基準年度の温室効果ガス計算シート'!E7</f>
        <v>0</v>
      </c>
      <c r="P7" s="114">
        <f>H7-'基準年度の温室効果ガス計算シート'!H7</f>
        <v>0</v>
      </c>
      <c r="Q7" s="114">
        <f>K7-'基準年度の温室効果ガス計算シート'!K7</f>
        <v>0</v>
      </c>
    </row>
    <row r="8" spans="1:17" ht="15" customHeight="1">
      <c r="A8" s="279"/>
      <c r="B8" s="281" t="s">
        <v>72</v>
      </c>
      <c r="C8" s="281"/>
      <c r="D8" s="281"/>
      <c r="E8" s="106"/>
      <c r="F8" s="107" t="s">
        <v>67</v>
      </c>
      <c r="G8" s="108">
        <f>ROUND(E8*36.7,1)</f>
        <v>0</v>
      </c>
      <c r="H8" s="106"/>
      <c r="I8" s="107" t="s">
        <v>67</v>
      </c>
      <c r="J8" s="109">
        <f>ROUND(H8*36.7,1)</f>
        <v>0</v>
      </c>
      <c r="K8" s="110">
        <f t="shared" si="0"/>
        <v>0</v>
      </c>
      <c r="L8" s="111">
        <f>ROUND(K8*0.0185*44/12,0)</f>
        <v>0</v>
      </c>
      <c r="M8" s="112">
        <v>36.7</v>
      </c>
      <c r="N8" s="113" t="s">
        <v>65</v>
      </c>
      <c r="O8" s="114">
        <f>E8-'基準年度の温室効果ガス計算シート'!E8</f>
        <v>0</v>
      </c>
      <c r="P8" s="114">
        <f>H8-'基準年度の温室効果ガス計算シート'!H8</f>
        <v>0</v>
      </c>
      <c r="Q8" s="114">
        <f>K8-'基準年度の温室効果ガス計算シート'!K8</f>
        <v>0</v>
      </c>
    </row>
    <row r="9" spans="1:17" ht="15" customHeight="1">
      <c r="A9" s="279"/>
      <c r="B9" s="281" t="s">
        <v>73</v>
      </c>
      <c r="C9" s="281"/>
      <c r="D9" s="281"/>
      <c r="E9" s="106"/>
      <c r="F9" s="107" t="s">
        <v>67</v>
      </c>
      <c r="G9" s="108">
        <f>ROUND(E9*37.7,1)</f>
        <v>0</v>
      </c>
      <c r="H9" s="106"/>
      <c r="I9" s="107" t="s">
        <v>67</v>
      </c>
      <c r="J9" s="109">
        <f>ROUND(H9*37.7,1)</f>
        <v>0</v>
      </c>
      <c r="K9" s="110">
        <f t="shared" si="0"/>
        <v>0</v>
      </c>
      <c r="L9" s="111">
        <f>ROUND(K9*0.0187*44/12,0)</f>
        <v>0</v>
      </c>
      <c r="M9" s="112">
        <v>37.7</v>
      </c>
      <c r="N9" s="113" t="s">
        <v>65</v>
      </c>
      <c r="O9" s="114">
        <f>E9-'基準年度の温室効果ガス計算シート'!E9</f>
        <v>0</v>
      </c>
      <c r="P9" s="114">
        <f>H9-'基準年度の温室効果ガス計算シート'!H9</f>
        <v>0</v>
      </c>
      <c r="Q9" s="114">
        <f>K9-'基準年度の温室効果ガス計算シート'!K9</f>
        <v>0</v>
      </c>
    </row>
    <row r="10" spans="1:17" ht="15" customHeight="1">
      <c r="A10" s="279"/>
      <c r="B10" s="281" t="s">
        <v>38</v>
      </c>
      <c r="C10" s="281"/>
      <c r="D10" s="281"/>
      <c r="E10" s="106"/>
      <c r="F10" s="107" t="s">
        <v>67</v>
      </c>
      <c r="G10" s="108">
        <f>ROUND(E10*39.1,1)</f>
        <v>0</v>
      </c>
      <c r="H10" s="106"/>
      <c r="I10" s="107" t="s">
        <v>67</v>
      </c>
      <c r="J10" s="109">
        <f>ROUND(H10*39.1,1)</f>
        <v>0</v>
      </c>
      <c r="K10" s="110">
        <f t="shared" si="0"/>
        <v>0</v>
      </c>
      <c r="L10" s="111">
        <f>ROUND(K10*0.0189*44/12,0)</f>
        <v>0</v>
      </c>
      <c r="M10" s="112">
        <v>39.1</v>
      </c>
      <c r="N10" s="113" t="s">
        <v>65</v>
      </c>
      <c r="O10" s="114">
        <f>E10-'基準年度の温室効果ガス計算シート'!E10</f>
        <v>0</v>
      </c>
      <c r="P10" s="114">
        <f>H10-'基準年度の温室効果ガス計算シート'!H10</f>
        <v>0</v>
      </c>
      <c r="Q10" s="114">
        <f>K10-'基準年度の温室効果ガス計算シート'!K10</f>
        <v>0</v>
      </c>
    </row>
    <row r="11" spans="1:17" ht="15" customHeight="1">
      <c r="A11" s="279"/>
      <c r="B11" s="281" t="s">
        <v>70</v>
      </c>
      <c r="C11" s="281"/>
      <c r="D11" s="281"/>
      <c r="E11" s="106"/>
      <c r="F11" s="107" t="s">
        <v>67</v>
      </c>
      <c r="G11" s="108">
        <f>ROUND(E11*41.9,1)</f>
        <v>0</v>
      </c>
      <c r="H11" s="106"/>
      <c r="I11" s="107" t="s">
        <v>67</v>
      </c>
      <c r="J11" s="109">
        <f>ROUND(H11*41.9,1)</f>
        <v>0</v>
      </c>
      <c r="K11" s="110">
        <f t="shared" si="0"/>
        <v>0</v>
      </c>
      <c r="L11" s="111">
        <f>ROUND(K11*0.0195*44/12,0)</f>
        <v>0</v>
      </c>
      <c r="M11" s="112">
        <v>41.9</v>
      </c>
      <c r="N11" s="113" t="s">
        <v>65</v>
      </c>
      <c r="O11" s="114">
        <f>E11-'基準年度の温室効果ガス計算シート'!E11</f>
        <v>0</v>
      </c>
      <c r="P11" s="114">
        <f>H11-'基準年度の温室効果ガス計算シート'!H11</f>
        <v>0</v>
      </c>
      <c r="Q11" s="114">
        <f>K11-'基準年度の温室効果ガス計算シート'!K11</f>
        <v>0</v>
      </c>
    </row>
    <row r="12" spans="1:17" ht="15" customHeight="1">
      <c r="A12" s="279"/>
      <c r="B12" s="281" t="s">
        <v>74</v>
      </c>
      <c r="C12" s="281"/>
      <c r="D12" s="281"/>
      <c r="E12" s="106"/>
      <c r="F12" s="107" t="s">
        <v>75</v>
      </c>
      <c r="G12" s="108">
        <f>ROUND(E12*40.9,1)</f>
        <v>0</v>
      </c>
      <c r="H12" s="106"/>
      <c r="I12" s="107" t="s">
        <v>75</v>
      </c>
      <c r="J12" s="109">
        <f>ROUND(H12*40.9,1)</f>
        <v>0</v>
      </c>
      <c r="K12" s="110">
        <f t="shared" si="0"/>
        <v>0</v>
      </c>
      <c r="L12" s="111">
        <f>ROUND(K12*0.0208*44/12,0)</f>
        <v>0</v>
      </c>
      <c r="M12" s="112">
        <v>40.9</v>
      </c>
      <c r="N12" s="113" t="s">
        <v>76</v>
      </c>
      <c r="O12" s="114">
        <f>E12-'基準年度の温室効果ガス計算シート'!E12</f>
        <v>0</v>
      </c>
      <c r="P12" s="114">
        <f>H12-'基準年度の温室効果ガス計算シート'!H12</f>
        <v>0</v>
      </c>
      <c r="Q12" s="114">
        <f>K12-'基準年度の温室効果ガス計算シート'!K12</f>
        <v>0</v>
      </c>
    </row>
    <row r="13" spans="1:17" ht="15" customHeight="1">
      <c r="A13" s="279"/>
      <c r="B13" s="281" t="s">
        <v>77</v>
      </c>
      <c r="C13" s="281"/>
      <c r="D13" s="281"/>
      <c r="E13" s="106"/>
      <c r="F13" s="107" t="s">
        <v>75</v>
      </c>
      <c r="G13" s="108">
        <f>ROUND(E13*29.9,1)</f>
        <v>0</v>
      </c>
      <c r="H13" s="106"/>
      <c r="I13" s="107" t="s">
        <v>75</v>
      </c>
      <c r="J13" s="109">
        <f>ROUND(H13*29.9,1)</f>
        <v>0</v>
      </c>
      <c r="K13" s="110">
        <f t="shared" si="0"/>
        <v>0</v>
      </c>
      <c r="L13" s="111">
        <f>ROUND(K13*0.0254*44/12,0)</f>
        <v>0</v>
      </c>
      <c r="M13" s="112">
        <v>29.9</v>
      </c>
      <c r="N13" s="113" t="s">
        <v>76</v>
      </c>
      <c r="O13" s="114">
        <f>E13-'基準年度の温室効果ガス計算シート'!E13</f>
        <v>0</v>
      </c>
      <c r="P13" s="114">
        <f>H13-'基準年度の温室効果ガス計算シート'!H13</f>
        <v>0</v>
      </c>
      <c r="Q13" s="114">
        <f>K13-'基準年度の温室効果ガス計算シート'!K13</f>
        <v>0</v>
      </c>
    </row>
    <row r="14" spans="1:17" ht="15" customHeight="1">
      <c r="A14" s="279"/>
      <c r="B14" s="282" t="s">
        <v>78</v>
      </c>
      <c r="C14" s="280" t="s">
        <v>79</v>
      </c>
      <c r="D14" s="280"/>
      <c r="E14" s="106"/>
      <c r="F14" s="107" t="s">
        <v>75</v>
      </c>
      <c r="G14" s="108">
        <f>ROUND(E14*50.8,1)</f>
        <v>0</v>
      </c>
      <c r="H14" s="106"/>
      <c r="I14" s="107" t="s">
        <v>75</v>
      </c>
      <c r="J14" s="109">
        <f>ROUND(H14*50.8,1)</f>
        <v>0</v>
      </c>
      <c r="K14" s="110">
        <f aca="true" t="shared" si="1" ref="K14:K27">G14-J14</f>
        <v>0</v>
      </c>
      <c r="L14" s="111">
        <f>ROUND(K14*0.0161*44/12,0)</f>
        <v>0</v>
      </c>
      <c r="M14" s="112">
        <v>50.8</v>
      </c>
      <c r="N14" s="113" t="s">
        <v>76</v>
      </c>
      <c r="O14" s="114">
        <f>E14-'基準年度の温室効果ガス計算シート'!E14</f>
        <v>0</v>
      </c>
      <c r="P14" s="114">
        <f>H14-'基準年度の温室効果ガス計算シート'!H14</f>
        <v>0</v>
      </c>
      <c r="Q14" s="114">
        <f>K14-'基準年度の温室効果ガス計算シート'!K14</f>
        <v>0</v>
      </c>
    </row>
    <row r="15" spans="1:17" ht="15" customHeight="1">
      <c r="A15" s="279"/>
      <c r="B15" s="283"/>
      <c r="C15" s="280" t="s">
        <v>80</v>
      </c>
      <c r="D15" s="280"/>
      <c r="E15" s="106"/>
      <c r="F15" s="107" t="s">
        <v>30</v>
      </c>
      <c r="G15" s="108">
        <f>ROUND(E15*44.9,1)</f>
        <v>0</v>
      </c>
      <c r="H15" s="106"/>
      <c r="I15" s="107" t="s">
        <v>30</v>
      </c>
      <c r="J15" s="109">
        <f>ROUND(H15*44.9,1)</f>
        <v>0</v>
      </c>
      <c r="K15" s="110">
        <f t="shared" si="1"/>
        <v>0</v>
      </c>
      <c r="L15" s="111">
        <f>ROUND(K15*0.0142*44/12,0)</f>
        <v>0</v>
      </c>
      <c r="M15" s="112">
        <v>44.9</v>
      </c>
      <c r="N15" s="113" t="s">
        <v>81</v>
      </c>
      <c r="O15" s="114">
        <f>E15-'基準年度の温室効果ガス計算シート'!E15</f>
        <v>0</v>
      </c>
      <c r="P15" s="114">
        <f>H15-'基準年度の温室効果ガス計算シート'!H15</f>
        <v>0</v>
      </c>
      <c r="Q15" s="114">
        <f>K15-'基準年度の温室効果ガス計算シート'!K15</f>
        <v>0</v>
      </c>
    </row>
    <row r="16" spans="1:17" ht="15" customHeight="1">
      <c r="A16" s="279"/>
      <c r="B16" s="282" t="s">
        <v>82</v>
      </c>
      <c r="C16" s="280" t="s">
        <v>83</v>
      </c>
      <c r="D16" s="280"/>
      <c r="E16" s="106"/>
      <c r="F16" s="107" t="s">
        <v>75</v>
      </c>
      <c r="G16" s="108">
        <f>ROUND(E16*54.6,1)</f>
        <v>0</v>
      </c>
      <c r="H16" s="106"/>
      <c r="I16" s="107" t="s">
        <v>75</v>
      </c>
      <c r="J16" s="109">
        <f>ROUND(H16*54.6,1)</f>
        <v>0</v>
      </c>
      <c r="K16" s="110">
        <f t="shared" si="1"/>
        <v>0</v>
      </c>
      <c r="L16" s="111">
        <f>ROUND(K16*0.0135*44/12,0)</f>
        <v>0</v>
      </c>
      <c r="M16" s="112">
        <v>54.6</v>
      </c>
      <c r="N16" s="113" t="s">
        <v>76</v>
      </c>
      <c r="O16" s="114">
        <f>E16-'基準年度の温室効果ガス計算シート'!E16</f>
        <v>0</v>
      </c>
      <c r="P16" s="114">
        <f>H16-'基準年度の温室効果ガス計算シート'!H16</f>
        <v>0</v>
      </c>
      <c r="Q16" s="114">
        <f>K16-'基準年度の温室効果ガス計算シート'!K16</f>
        <v>0</v>
      </c>
    </row>
    <row r="17" spans="1:17" ht="15" customHeight="1">
      <c r="A17" s="279"/>
      <c r="B17" s="283"/>
      <c r="C17" s="280" t="s">
        <v>85</v>
      </c>
      <c r="D17" s="280"/>
      <c r="E17" s="106"/>
      <c r="F17" s="107" t="s">
        <v>30</v>
      </c>
      <c r="G17" s="108">
        <f>ROUND(E17*43.5,1)</f>
        <v>0</v>
      </c>
      <c r="H17" s="106"/>
      <c r="I17" s="107" t="s">
        <v>30</v>
      </c>
      <c r="J17" s="109">
        <f>ROUND(H17*43.5,1)</f>
        <v>0</v>
      </c>
      <c r="K17" s="110">
        <f t="shared" si="1"/>
        <v>0</v>
      </c>
      <c r="L17" s="111">
        <f>ROUND(K17*0.0139*44/12,0)</f>
        <v>0</v>
      </c>
      <c r="M17" s="112">
        <v>43.5</v>
      </c>
      <c r="N17" s="113" t="s">
        <v>81</v>
      </c>
      <c r="O17" s="114">
        <f>E17-'基準年度の温室効果ガス計算シート'!E17</f>
        <v>0</v>
      </c>
      <c r="P17" s="114">
        <f>H17-'基準年度の温室効果ガス計算シート'!H17</f>
        <v>0</v>
      </c>
      <c r="Q17" s="114">
        <f>K17-'基準年度の温室効果ガス計算シート'!K17</f>
        <v>0</v>
      </c>
    </row>
    <row r="18" spans="1:17" ht="15" customHeight="1">
      <c r="A18" s="279"/>
      <c r="B18" s="284" t="s">
        <v>87</v>
      </c>
      <c r="C18" s="280" t="s">
        <v>88</v>
      </c>
      <c r="D18" s="280"/>
      <c r="E18" s="106"/>
      <c r="F18" s="107" t="s">
        <v>75</v>
      </c>
      <c r="G18" s="108">
        <f>ROUND(E18*29,1)</f>
        <v>0</v>
      </c>
      <c r="H18" s="106"/>
      <c r="I18" s="107" t="s">
        <v>75</v>
      </c>
      <c r="J18" s="109">
        <f>ROUND(H18*29,1)</f>
        <v>0</v>
      </c>
      <c r="K18" s="110">
        <f t="shared" si="1"/>
        <v>0</v>
      </c>
      <c r="L18" s="111">
        <f>ROUND(K18*0.0245*44/12,0)</f>
        <v>0</v>
      </c>
      <c r="M18" s="112">
        <v>29</v>
      </c>
      <c r="N18" s="113" t="s">
        <v>76</v>
      </c>
      <c r="O18" s="114">
        <f>E18-'基準年度の温室効果ガス計算シート'!E18</f>
        <v>0</v>
      </c>
      <c r="P18" s="114">
        <f>H18-'基準年度の温室効果ガス計算シート'!H18</f>
        <v>0</v>
      </c>
      <c r="Q18" s="114">
        <f>K18-'基準年度の温室効果ガス計算シート'!K18</f>
        <v>0</v>
      </c>
    </row>
    <row r="19" spans="1:17" ht="15" customHeight="1">
      <c r="A19" s="279"/>
      <c r="B19" s="285"/>
      <c r="C19" s="280" t="s">
        <v>89</v>
      </c>
      <c r="D19" s="280"/>
      <c r="E19" s="106"/>
      <c r="F19" s="107" t="s">
        <v>75</v>
      </c>
      <c r="G19" s="108">
        <f>ROUND(E19*25.7,1)</f>
        <v>0</v>
      </c>
      <c r="H19" s="106"/>
      <c r="I19" s="107" t="s">
        <v>75</v>
      </c>
      <c r="J19" s="109">
        <f>ROUND(H19*25.7,1)</f>
        <v>0</v>
      </c>
      <c r="K19" s="110">
        <f t="shared" si="1"/>
        <v>0</v>
      </c>
      <c r="L19" s="111">
        <f>ROUND(K19*0.0247*44/12,0)</f>
        <v>0</v>
      </c>
      <c r="M19" s="112">
        <v>25.7</v>
      </c>
      <c r="N19" s="113" t="s">
        <v>76</v>
      </c>
      <c r="O19" s="114">
        <f>E19-'基準年度の温室効果ガス計算シート'!E19</f>
        <v>0</v>
      </c>
      <c r="P19" s="114">
        <f>H19-'基準年度の温室効果ガス計算シート'!H19</f>
        <v>0</v>
      </c>
      <c r="Q19" s="114">
        <f>K19-'基準年度の温室効果ガス計算シート'!K19</f>
        <v>0</v>
      </c>
    </row>
    <row r="20" spans="1:17" ht="15" customHeight="1">
      <c r="A20" s="279"/>
      <c r="B20" s="286"/>
      <c r="C20" s="280" t="s">
        <v>33</v>
      </c>
      <c r="D20" s="280"/>
      <c r="E20" s="106"/>
      <c r="F20" s="107" t="s">
        <v>75</v>
      </c>
      <c r="G20" s="108">
        <f>ROUND(E20*26.9,1)</f>
        <v>0</v>
      </c>
      <c r="H20" s="106"/>
      <c r="I20" s="107" t="s">
        <v>75</v>
      </c>
      <c r="J20" s="109">
        <f>ROUND(H20*26.9,1)</f>
        <v>0</v>
      </c>
      <c r="K20" s="110">
        <f t="shared" si="1"/>
        <v>0</v>
      </c>
      <c r="L20" s="111">
        <f>ROUND(K20*0.0255*44/12,0)</f>
        <v>0</v>
      </c>
      <c r="M20" s="112">
        <v>26.9</v>
      </c>
      <c r="N20" s="113" t="s">
        <v>76</v>
      </c>
      <c r="O20" s="114">
        <f>E20-'基準年度の温室効果ガス計算シート'!E20</f>
        <v>0</v>
      </c>
      <c r="P20" s="114">
        <f>H20-'基準年度の温室効果ガス計算シート'!H20</f>
        <v>0</v>
      </c>
      <c r="Q20" s="114">
        <f>K20-'基準年度の温室効果ガス計算シート'!K20</f>
        <v>0</v>
      </c>
    </row>
    <row r="21" spans="1:17" ht="15" customHeight="1">
      <c r="A21" s="279"/>
      <c r="B21" s="281" t="s">
        <v>3</v>
      </c>
      <c r="C21" s="281"/>
      <c r="D21" s="281"/>
      <c r="E21" s="106"/>
      <c r="F21" s="107" t="s">
        <v>75</v>
      </c>
      <c r="G21" s="108">
        <f>ROUND(E21*29.4,1)</f>
        <v>0</v>
      </c>
      <c r="H21" s="106"/>
      <c r="I21" s="107" t="s">
        <v>75</v>
      </c>
      <c r="J21" s="109">
        <f>ROUND(H21*29.4,1)</f>
        <v>0</v>
      </c>
      <c r="K21" s="110">
        <f t="shared" si="1"/>
        <v>0</v>
      </c>
      <c r="L21" s="111">
        <f>ROUND(K21*0.0294*44/12,0)</f>
        <v>0</v>
      </c>
      <c r="M21" s="112">
        <v>29.4</v>
      </c>
      <c r="N21" s="113" t="s">
        <v>76</v>
      </c>
      <c r="O21" s="114">
        <f>E21-'基準年度の温室効果ガス計算シート'!E21</f>
        <v>0</v>
      </c>
      <c r="P21" s="114">
        <f>H21-'基準年度の温室効果ガス計算シート'!H21</f>
        <v>0</v>
      </c>
      <c r="Q21" s="114">
        <f>K21-'基準年度の温室効果ガス計算シート'!K21</f>
        <v>0</v>
      </c>
    </row>
    <row r="22" spans="1:17" ht="15" customHeight="1">
      <c r="A22" s="279"/>
      <c r="B22" s="281" t="s">
        <v>91</v>
      </c>
      <c r="C22" s="281"/>
      <c r="D22" s="281"/>
      <c r="E22" s="106"/>
      <c r="F22" s="107" t="s">
        <v>75</v>
      </c>
      <c r="G22" s="108">
        <f>ROUND(E22*37.3,1)</f>
        <v>0</v>
      </c>
      <c r="H22" s="106"/>
      <c r="I22" s="107" t="s">
        <v>75</v>
      </c>
      <c r="J22" s="109">
        <f>ROUND(H22*37.3,1)</f>
        <v>0</v>
      </c>
      <c r="K22" s="110">
        <f t="shared" si="1"/>
        <v>0</v>
      </c>
      <c r="L22" s="111">
        <f>ROUND(K22*0.0209*44/12,0)</f>
        <v>0</v>
      </c>
      <c r="M22" s="112">
        <v>37.3</v>
      </c>
      <c r="N22" s="113" t="s">
        <v>76</v>
      </c>
      <c r="O22" s="114">
        <f>E22-'基準年度の温室効果ガス計算シート'!E22</f>
        <v>0</v>
      </c>
      <c r="P22" s="114">
        <f>H22-'基準年度の温室効果ガス計算シート'!H22</f>
        <v>0</v>
      </c>
      <c r="Q22" s="114">
        <f>K22-'基準年度の温室効果ガス計算シート'!K22</f>
        <v>0</v>
      </c>
    </row>
    <row r="23" spans="1:27" ht="15" customHeight="1">
      <c r="A23" s="279"/>
      <c r="B23" s="281" t="s">
        <v>92</v>
      </c>
      <c r="C23" s="281"/>
      <c r="D23" s="281"/>
      <c r="E23" s="106"/>
      <c r="F23" s="107" t="s">
        <v>30</v>
      </c>
      <c r="G23" s="108">
        <f>ROUND(E23*21.1,1)</f>
        <v>0</v>
      </c>
      <c r="H23" s="106"/>
      <c r="I23" s="107" t="s">
        <v>30</v>
      </c>
      <c r="J23" s="109">
        <f>ROUND(H23*21.1,1)</f>
        <v>0</v>
      </c>
      <c r="K23" s="110">
        <f t="shared" si="1"/>
        <v>0</v>
      </c>
      <c r="L23" s="111">
        <f>ROUND(K23*0.011*44/12,0)</f>
        <v>0</v>
      </c>
      <c r="M23" s="112">
        <v>21.1</v>
      </c>
      <c r="N23" s="113" t="s">
        <v>81</v>
      </c>
      <c r="O23" s="114">
        <f>E23-'基準年度の温室効果ガス計算シート'!E23</f>
        <v>0</v>
      </c>
      <c r="P23" s="114">
        <f>H23-'基準年度の温室効果ガス計算シート'!H23</f>
        <v>0</v>
      </c>
      <c r="Q23" s="114">
        <f>K23-'基準年度の温室効果ガス計算シート'!K23</f>
        <v>0</v>
      </c>
      <c r="S23" s="18"/>
      <c r="T23" s="18"/>
      <c r="U23" s="18"/>
      <c r="V23" s="18"/>
      <c r="W23" s="18"/>
      <c r="X23" s="18"/>
      <c r="Y23" s="18"/>
      <c r="Z23" s="18"/>
      <c r="AA23" s="18"/>
    </row>
    <row r="24" spans="1:27" ht="15" customHeight="1">
      <c r="A24" s="279"/>
      <c r="B24" s="281" t="s">
        <v>93</v>
      </c>
      <c r="C24" s="281"/>
      <c r="D24" s="281"/>
      <c r="E24" s="106"/>
      <c r="F24" s="107" t="s">
        <v>30</v>
      </c>
      <c r="G24" s="116">
        <f>ROUND(E24*3.41,2)</f>
        <v>0</v>
      </c>
      <c r="H24" s="106"/>
      <c r="I24" s="107" t="s">
        <v>30</v>
      </c>
      <c r="J24" s="117">
        <f>ROUND(H24*3.41,2)</f>
        <v>0</v>
      </c>
      <c r="K24" s="118">
        <f t="shared" si="1"/>
        <v>0</v>
      </c>
      <c r="L24" s="111">
        <f>ROUND(K24*0.0263*44/12,0)</f>
        <v>0</v>
      </c>
      <c r="M24" s="119">
        <v>3.41</v>
      </c>
      <c r="N24" s="113" t="s">
        <v>81</v>
      </c>
      <c r="O24" s="114">
        <f>E24-'基準年度の温室効果ガス計算シート'!E24</f>
        <v>0</v>
      </c>
      <c r="P24" s="114">
        <f>H24-'基準年度の温室効果ガス計算シート'!H24</f>
        <v>0</v>
      </c>
      <c r="Q24" s="114">
        <f>K24-'基準年度の温室効果ガス計算シート'!K24</f>
        <v>0</v>
      </c>
      <c r="S24" s="18"/>
      <c r="T24" s="18"/>
      <c r="U24" s="18"/>
      <c r="V24" s="18"/>
      <c r="W24" s="18"/>
      <c r="X24" s="18"/>
      <c r="Y24" s="18"/>
      <c r="Z24" s="18"/>
      <c r="AA24" s="18"/>
    </row>
    <row r="25" spans="1:27" ht="15" customHeight="1">
      <c r="A25" s="279"/>
      <c r="B25" s="281" t="s">
        <v>100</v>
      </c>
      <c r="C25" s="281"/>
      <c r="D25" s="281"/>
      <c r="E25" s="106"/>
      <c r="F25" s="107" t="s">
        <v>30</v>
      </c>
      <c r="G25" s="116">
        <f>ROUND(E25*8.41,2)</f>
        <v>0</v>
      </c>
      <c r="H25" s="106"/>
      <c r="I25" s="107" t="s">
        <v>30</v>
      </c>
      <c r="J25" s="117">
        <f>ROUND(H25*8.41,2)</f>
        <v>0</v>
      </c>
      <c r="K25" s="118">
        <f t="shared" si="1"/>
        <v>0</v>
      </c>
      <c r="L25" s="111">
        <f>ROUND(K25*0.0384*44/12,0)</f>
        <v>0</v>
      </c>
      <c r="M25" s="119">
        <v>8.41</v>
      </c>
      <c r="N25" s="113" t="s">
        <v>81</v>
      </c>
      <c r="O25" s="114">
        <f>E25-'基準年度の温室効果ガス計算シート'!E25</f>
        <v>0</v>
      </c>
      <c r="P25" s="114">
        <f>H25-'基準年度の温室効果ガス計算シート'!H25</f>
        <v>0</v>
      </c>
      <c r="Q25" s="114">
        <f>K25-'基準年度の温室効果ガス計算シート'!K25</f>
        <v>0</v>
      </c>
      <c r="S25" s="34"/>
      <c r="T25" s="18"/>
      <c r="U25" s="18"/>
      <c r="V25" s="18"/>
      <c r="W25" s="18"/>
      <c r="X25" s="18"/>
      <c r="Y25" s="18"/>
      <c r="Z25" s="18"/>
      <c r="AA25" s="18"/>
    </row>
    <row r="26" spans="1:27" ht="15" customHeight="1">
      <c r="A26" s="279"/>
      <c r="B26" s="287" t="s">
        <v>42</v>
      </c>
      <c r="C26" s="289" t="s">
        <v>69</v>
      </c>
      <c r="D26" s="290"/>
      <c r="E26" s="106"/>
      <c r="F26" s="107" t="s">
        <v>30</v>
      </c>
      <c r="G26" s="108">
        <f>IF(E26=0,0,ROUND(E26*M26,1))</f>
        <v>0</v>
      </c>
      <c r="H26" s="106"/>
      <c r="I26" s="107" t="s">
        <v>30</v>
      </c>
      <c r="J26" s="109">
        <f>IF(H26=0,0,ROUND(H26*M26,1))</f>
        <v>0</v>
      </c>
      <c r="K26" s="110">
        <f t="shared" si="1"/>
        <v>0</v>
      </c>
      <c r="L26" s="111">
        <f>ROUND(K26*0.0136*44/12,0)</f>
        <v>0</v>
      </c>
      <c r="M26" s="120">
        <f>IF('基準年度の温室効果ガス計算シート'!M26=0,"",'基準年度の温室効果ガス計算シート'!M26)</f>
      </c>
      <c r="N26" s="113" t="s">
        <v>81</v>
      </c>
      <c r="O26" s="114">
        <f>E26-'基準年度の温室効果ガス計算シート'!E26</f>
        <v>0</v>
      </c>
      <c r="P26" s="114">
        <f>H26-'基準年度の温室効果ガス計算シート'!H26</f>
        <v>0</v>
      </c>
      <c r="Q26" s="114">
        <f>K26-'基準年度の温室効果ガス計算シート'!K26</f>
        <v>0</v>
      </c>
      <c r="S26" s="291" t="s">
        <v>95</v>
      </c>
      <c r="T26" s="292"/>
      <c r="U26" s="293" t="s">
        <v>96</v>
      </c>
      <c r="V26" s="295" t="s">
        <v>97</v>
      </c>
      <c r="W26" s="291"/>
      <c r="X26" s="296" t="s">
        <v>98</v>
      </c>
      <c r="Y26" s="291" t="s">
        <v>99</v>
      </c>
      <c r="Z26" s="297"/>
      <c r="AA26" s="18"/>
    </row>
    <row r="27" spans="1:27" ht="15" customHeight="1">
      <c r="A27" s="279"/>
      <c r="B27" s="288"/>
      <c r="C27" s="298" t="s">
        <v>102</v>
      </c>
      <c r="D27" s="299"/>
      <c r="E27" s="106"/>
      <c r="F27" s="107" t="s">
        <v>30</v>
      </c>
      <c r="G27" s="108">
        <f>ROUND(E27*M27,1)</f>
        <v>0</v>
      </c>
      <c r="H27" s="106"/>
      <c r="I27" s="107" t="s">
        <v>30</v>
      </c>
      <c r="J27" s="109">
        <f>ROUND(H27*M27,1)</f>
        <v>0</v>
      </c>
      <c r="K27" s="110">
        <f t="shared" si="1"/>
        <v>0</v>
      </c>
      <c r="L27" s="111">
        <f>ROUND(K27*0.0136*44/12,0)</f>
        <v>0</v>
      </c>
      <c r="M27" s="106"/>
      <c r="N27" s="113" t="s">
        <v>81</v>
      </c>
      <c r="O27" s="114">
        <f>E27-'基準年度の温室効果ガス計算シート'!E27</f>
        <v>0</v>
      </c>
      <c r="P27" s="114">
        <f>H27-'基準年度の温室効果ガス計算シート'!H27</f>
        <v>0</v>
      </c>
      <c r="Q27" s="114">
        <f>K27-'基準年度の温室効果ガス計算シート'!K27</f>
        <v>0</v>
      </c>
      <c r="S27" s="291"/>
      <c r="T27" s="292"/>
      <c r="U27" s="294"/>
      <c r="V27" s="295"/>
      <c r="W27" s="291"/>
      <c r="X27" s="296"/>
      <c r="Y27" s="291"/>
      <c r="Z27" s="297"/>
      <c r="AA27" s="18"/>
    </row>
    <row r="28" spans="1:27" ht="15" customHeight="1">
      <c r="A28" s="279"/>
      <c r="B28" s="300" t="s">
        <v>105</v>
      </c>
      <c r="C28" s="301"/>
      <c r="D28" s="301"/>
      <c r="E28" s="121"/>
      <c r="F28" s="121"/>
      <c r="G28" s="122">
        <f>SUM(G4:G27)</f>
        <v>0</v>
      </c>
      <c r="H28" s="121"/>
      <c r="I28" s="121"/>
      <c r="J28" s="122">
        <f>SUM(J4:J27)</f>
        <v>0</v>
      </c>
      <c r="K28" s="122">
        <f>SUM(K4:K27)</f>
        <v>0</v>
      </c>
      <c r="L28" s="123">
        <f>SUM(L4:L27)</f>
        <v>0</v>
      </c>
      <c r="M28" s="124"/>
      <c r="N28" s="125"/>
      <c r="O28" s="126">
        <f>SUM(O4:O27)</f>
        <v>0</v>
      </c>
      <c r="P28" s="126">
        <f>SUM(P4:P27)</f>
        <v>0</v>
      </c>
      <c r="Q28" s="122">
        <f>SUM(Q4:Q27)</f>
        <v>0</v>
      </c>
      <c r="S28" s="302" t="s">
        <v>101</v>
      </c>
      <c r="T28" s="303"/>
      <c r="U28" s="127"/>
      <c r="V28" s="238">
        <v>45</v>
      </c>
      <c r="W28" s="304"/>
      <c r="X28" s="39">
        <f aca="true" t="shared" si="2" ref="X28:X37">U28*V28</f>
        <v>0</v>
      </c>
      <c r="Y28" s="40"/>
      <c r="Z28" s="18"/>
      <c r="AA28" s="18"/>
    </row>
    <row r="29" spans="1:27" ht="15" customHeight="1">
      <c r="A29" s="278" t="s">
        <v>109</v>
      </c>
      <c r="B29" s="281" t="s">
        <v>110</v>
      </c>
      <c r="C29" s="281"/>
      <c r="D29" s="281"/>
      <c r="E29" s="106"/>
      <c r="F29" s="107" t="s">
        <v>111</v>
      </c>
      <c r="G29" s="108">
        <f>ROUND(E29*1.02,1)</f>
        <v>0</v>
      </c>
      <c r="H29" s="106"/>
      <c r="I29" s="107" t="s">
        <v>111</v>
      </c>
      <c r="J29" s="108">
        <f>ROUND(H29*1.02,1)</f>
        <v>0</v>
      </c>
      <c r="K29" s="110">
        <f>+E29-H29</f>
        <v>0</v>
      </c>
      <c r="L29" s="128">
        <f>ROUND(K29*0.06,0)</f>
        <v>0</v>
      </c>
      <c r="M29" s="119">
        <v>1.02</v>
      </c>
      <c r="N29" s="113" t="s">
        <v>112</v>
      </c>
      <c r="O29" s="114">
        <f>E29-'基準年度の温室効果ガス計算シート'!E29</f>
        <v>0</v>
      </c>
      <c r="P29" s="114">
        <f>H29-'基準年度の温室効果ガス計算シート'!H29</f>
        <v>0</v>
      </c>
      <c r="Q29" s="114">
        <f>K29-'基準年度の温室効果ガス計算シート'!K29</f>
        <v>0</v>
      </c>
      <c r="S29" s="302" t="s">
        <v>104</v>
      </c>
      <c r="T29" s="303"/>
      <c r="U29" s="127"/>
      <c r="V29" s="238">
        <v>45</v>
      </c>
      <c r="W29" s="304"/>
      <c r="X29" s="39">
        <f t="shared" si="2"/>
        <v>0</v>
      </c>
      <c r="Y29" s="40"/>
      <c r="Z29" s="18"/>
      <c r="AA29" s="18"/>
    </row>
    <row r="30" spans="1:27" ht="15" customHeight="1">
      <c r="A30" s="279"/>
      <c r="B30" s="281" t="s">
        <v>25</v>
      </c>
      <c r="C30" s="281"/>
      <c r="D30" s="281"/>
      <c r="E30" s="106"/>
      <c r="F30" s="107" t="s">
        <v>111</v>
      </c>
      <c r="G30" s="108">
        <f>ROUND(E30*1.36,1)</f>
        <v>0</v>
      </c>
      <c r="H30" s="106"/>
      <c r="I30" s="107" t="s">
        <v>111</v>
      </c>
      <c r="J30" s="108">
        <f>ROUND(H30*1.36,1)</f>
        <v>0</v>
      </c>
      <c r="K30" s="110">
        <f>+E30-H30</f>
        <v>0</v>
      </c>
      <c r="L30" s="128">
        <f>ROUND(K30*0.057,0)</f>
        <v>0</v>
      </c>
      <c r="M30" s="119">
        <v>1.36</v>
      </c>
      <c r="N30" s="113" t="s">
        <v>112</v>
      </c>
      <c r="O30" s="114">
        <f>E30-'基準年度の温室効果ガス計算シート'!E30</f>
        <v>0</v>
      </c>
      <c r="P30" s="114">
        <f>H30-'基準年度の温室効果ガス計算シート'!H30</f>
        <v>0</v>
      </c>
      <c r="Q30" s="114">
        <f>K30-'基準年度の温室効果ガス計算シート'!K30</f>
        <v>0</v>
      </c>
      <c r="S30" s="302" t="s">
        <v>108</v>
      </c>
      <c r="T30" s="303"/>
      <c r="U30" s="127"/>
      <c r="V30" s="238">
        <v>46</v>
      </c>
      <c r="W30" s="304"/>
      <c r="X30" s="39">
        <f t="shared" si="2"/>
        <v>0</v>
      </c>
      <c r="Y30" s="40"/>
      <c r="Z30" s="18"/>
      <c r="AA30" s="18"/>
    </row>
    <row r="31" spans="1:27" ht="15" customHeight="1">
      <c r="A31" s="279"/>
      <c r="B31" s="281" t="s">
        <v>115</v>
      </c>
      <c r="C31" s="281"/>
      <c r="D31" s="281"/>
      <c r="E31" s="106"/>
      <c r="F31" s="107" t="s">
        <v>111</v>
      </c>
      <c r="G31" s="108">
        <f>ROUND(E31*1.36,1)</f>
        <v>0</v>
      </c>
      <c r="H31" s="106"/>
      <c r="I31" s="107" t="s">
        <v>111</v>
      </c>
      <c r="J31" s="108">
        <f>ROUND(H31*1.36,1)</f>
        <v>0</v>
      </c>
      <c r="K31" s="110">
        <f>+E31-H31</f>
        <v>0</v>
      </c>
      <c r="L31" s="128">
        <f>ROUND(K31*0.057,0)</f>
        <v>0</v>
      </c>
      <c r="M31" s="119">
        <v>1.36</v>
      </c>
      <c r="N31" s="113" t="s">
        <v>112</v>
      </c>
      <c r="O31" s="114">
        <f>E31-'基準年度の温室効果ガス計算シート'!E31</f>
        <v>0</v>
      </c>
      <c r="P31" s="114">
        <f>H31-'基準年度の温室効果ガス計算シート'!H31</f>
        <v>0</v>
      </c>
      <c r="Q31" s="114">
        <f>K31-'基準年度の温室効果ガス計算シート'!K31</f>
        <v>0</v>
      </c>
      <c r="S31" s="302" t="s">
        <v>113</v>
      </c>
      <c r="T31" s="303"/>
      <c r="U31" s="127"/>
      <c r="V31" s="238">
        <v>62</v>
      </c>
      <c r="W31" s="304"/>
      <c r="X31" s="39">
        <f t="shared" si="2"/>
        <v>0</v>
      </c>
      <c r="Y31" s="40"/>
      <c r="Z31" s="18"/>
      <c r="AA31" s="18"/>
    </row>
    <row r="32" spans="1:27" ht="15" customHeight="1">
      <c r="A32" s="279"/>
      <c r="B32" s="281" t="s">
        <v>116</v>
      </c>
      <c r="C32" s="281"/>
      <c r="D32" s="281"/>
      <c r="E32" s="106"/>
      <c r="F32" s="107" t="s">
        <v>111</v>
      </c>
      <c r="G32" s="108">
        <f>ROUND(E32*1.36,1)</f>
        <v>0</v>
      </c>
      <c r="H32" s="106"/>
      <c r="I32" s="107" t="s">
        <v>111</v>
      </c>
      <c r="J32" s="108">
        <f>ROUND(H32*1.36,1)</f>
        <v>0</v>
      </c>
      <c r="K32" s="110">
        <f>+E32-H32</f>
        <v>0</v>
      </c>
      <c r="L32" s="128">
        <f>ROUND(K32*0.057,0)</f>
        <v>0</v>
      </c>
      <c r="M32" s="119">
        <v>1.36</v>
      </c>
      <c r="N32" s="113" t="s">
        <v>112</v>
      </c>
      <c r="O32" s="114">
        <f>E32-'基準年度の温室効果ガス計算シート'!E32</f>
        <v>0</v>
      </c>
      <c r="P32" s="114">
        <f>H32-'基準年度の温室効果ガス計算シート'!H32</f>
        <v>0</v>
      </c>
      <c r="Q32" s="114">
        <f>K32-'基準年度の温室効果ガス計算シート'!K32</f>
        <v>0</v>
      </c>
      <c r="S32" s="302" t="s">
        <v>114</v>
      </c>
      <c r="T32" s="303"/>
      <c r="U32" s="127"/>
      <c r="V32" s="238">
        <v>45</v>
      </c>
      <c r="W32" s="304"/>
      <c r="X32" s="39">
        <f t="shared" si="2"/>
        <v>0</v>
      </c>
      <c r="Y32" s="40"/>
      <c r="Z32" s="18"/>
      <c r="AA32" s="18"/>
    </row>
    <row r="33" spans="1:27" ht="15" customHeight="1">
      <c r="A33" s="305"/>
      <c r="B33" s="306" t="s">
        <v>105</v>
      </c>
      <c r="C33" s="306"/>
      <c r="D33" s="306"/>
      <c r="E33" s="121"/>
      <c r="F33" s="121"/>
      <c r="G33" s="122">
        <f>SUM(G29:G32)</f>
        <v>0</v>
      </c>
      <c r="H33" s="121"/>
      <c r="I33" s="121"/>
      <c r="J33" s="122">
        <f>SUM(J29:J32)</f>
        <v>0</v>
      </c>
      <c r="K33" s="122">
        <f>SUM(K29:K32)</f>
        <v>0</v>
      </c>
      <c r="L33" s="123">
        <f>SUM(L29:L32)</f>
        <v>0</v>
      </c>
      <c r="M33" s="124"/>
      <c r="N33" s="125"/>
      <c r="O33" s="126">
        <f>SUM(O29:O32)</f>
        <v>0</v>
      </c>
      <c r="P33" s="126">
        <f>SUM(P29:P32)</f>
        <v>0</v>
      </c>
      <c r="Q33" s="122">
        <f>SUM(Q29:Q32)</f>
        <v>0</v>
      </c>
      <c r="S33" s="302" t="s">
        <v>8</v>
      </c>
      <c r="T33" s="303"/>
      <c r="U33" s="127"/>
      <c r="V33" s="238">
        <v>45</v>
      </c>
      <c r="W33" s="304"/>
      <c r="X33" s="39">
        <f t="shared" si="2"/>
        <v>0</v>
      </c>
      <c r="Y33" s="40"/>
      <c r="Z33" s="18"/>
      <c r="AA33" s="18"/>
    </row>
    <row r="34" spans="1:27" ht="15" customHeight="1">
      <c r="A34" s="279" t="s">
        <v>118</v>
      </c>
      <c r="B34" s="307" t="s">
        <v>107</v>
      </c>
      <c r="C34" s="280" t="s">
        <v>119</v>
      </c>
      <c r="D34" s="280"/>
      <c r="E34" s="106"/>
      <c r="F34" s="107" t="s">
        <v>18</v>
      </c>
      <c r="G34" s="108">
        <f>ROUND(E34*9.97,1)</f>
        <v>0</v>
      </c>
      <c r="H34" s="129"/>
      <c r="I34" s="107" t="s">
        <v>18</v>
      </c>
      <c r="J34" s="130"/>
      <c r="K34" s="131"/>
      <c r="L34" s="128">
        <f>ROUND(E34*E43,0)</f>
        <v>0</v>
      </c>
      <c r="M34" s="119">
        <v>9.97</v>
      </c>
      <c r="N34" s="113" t="s">
        <v>120</v>
      </c>
      <c r="O34" s="114">
        <f>E34-'基準年度の温室効果ガス計算シート'!E34</f>
        <v>0</v>
      </c>
      <c r="P34" s="131"/>
      <c r="Q34" s="132"/>
      <c r="S34" s="302" t="s">
        <v>117</v>
      </c>
      <c r="T34" s="303"/>
      <c r="U34" s="127"/>
      <c r="V34" s="238">
        <v>45</v>
      </c>
      <c r="W34" s="304"/>
      <c r="X34" s="39">
        <f t="shared" si="2"/>
        <v>0</v>
      </c>
      <c r="Y34" s="40"/>
      <c r="Z34" s="18"/>
      <c r="AA34" s="18"/>
    </row>
    <row r="35" spans="1:27" ht="15" customHeight="1">
      <c r="A35" s="279"/>
      <c r="B35" s="283"/>
      <c r="C35" s="280" t="s">
        <v>122</v>
      </c>
      <c r="D35" s="280"/>
      <c r="E35" s="106"/>
      <c r="F35" s="107" t="s">
        <v>18</v>
      </c>
      <c r="G35" s="108">
        <f>ROUND(E35*9.28,1)</f>
        <v>0</v>
      </c>
      <c r="H35" s="129"/>
      <c r="I35" s="107" t="s">
        <v>18</v>
      </c>
      <c r="J35" s="133"/>
      <c r="K35" s="131"/>
      <c r="L35" s="128">
        <f>ROUND(E35*E43,0)</f>
        <v>0</v>
      </c>
      <c r="M35" s="119">
        <v>9.28</v>
      </c>
      <c r="N35" s="113" t="s">
        <v>120</v>
      </c>
      <c r="O35" s="114">
        <f>E35-'基準年度の温室効果ガス計算シート'!E35</f>
        <v>0</v>
      </c>
      <c r="P35" s="131"/>
      <c r="Q35" s="132"/>
      <c r="S35" s="302" t="s">
        <v>16</v>
      </c>
      <c r="T35" s="303"/>
      <c r="U35" s="127"/>
      <c r="V35" s="238">
        <v>45</v>
      </c>
      <c r="W35" s="304"/>
      <c r="X35" s="39">
        <f t="shared" si="2"/>
        <v>0</v>
      </c>
      <c r="Y35" s="40"/>
      <c r="Z35" s="18"/>
      <c r="AA35" s="18"/>
    </row>
    <row r="36" spans="1:27" ht="15" customHeight="1">
      <c r="A36" s="279"/>
      <c r="B36" s="284" t="s">
        <v>51</v>
      </c>
      <c r="C36" s="280" t="s">
        <v>123</v>
      </c>
      <c r="D36" s="280"/>
      <c r="E36" s="106"/>
      <c r="F36" s="107" t="s">
        <v>18</v>
      </c>
      <c r="G36" s="108">
        <f>ROUND(E36*9.76,1)</f>
        <v>0</v>
      </c>
      <c r="H36" s="129"/>
      <c r="I36" s="107" t="s">
        <v>18</v>
      </c>
      <c r="J36" s="132"/>
      <c r="K36" s="134"/>
      <c r="L36" s="128">
        <f>ROUND(E36*E44,0)</f>
        <v>0</v>
      </c>
      <c r="M36" s="119">
        <v>9.76</v>
      </c>
      <c r="N36" s="113" t="s">
        <v>120</v>
      </c>
      <c r="O36" s="114">
        <f>E36-'基準年度の温室効果ガス計算シート'!E36</f>
        <v>0</v>
      </c>
      <c r="P36" s="131"/>
      <c r="Q36" s="132"/>
      <c r="S36" s="302" t="s">
        <v>121</v>
      </c>
      <c r="T36" s="303"/>
      <c r="U36" s="127"/>
      <c r="V36" s="238">
        <v>45</v>
      </c>
      <c r="W36" s="304"/>
      <c r="X36" s="39">
        <f t="shared" si="2"/>
        <v>0</v>
      </c>
      <c r="Y36" s="40"/>
      <c r="Z36" s="18"/>
      <c r="AA36" s="18"/>
    </row>
    <row r="37" spans="1:27" ht="15" customHeight="1">
      <c r="A37" s="279"/>
      <c r="B37" s="286"/>
      <c r="C37" s="280" t="s">
        <v>125</v>
      </c>
      <c r="D37" s="280"/>
      <c r="E37" s="106"/>
      <c r="F37" s="107" t="s">
        <v>18</v>
      </c>
      <c r="G37" s="135"/>
      <c r="H37" s="106"/>
      <c r="I37" s="107" t="s">
        <v>18</v>
      </c>
      <c r="J37" s="131"/>
      <c r="K37" s="131"/>
      <c r="L37" s="128">
        <f>IF(H37=0,0,ROUND(H37*-H43,0))</f>
        <v>0</v>
      </c>
      <c r="M37" s="136"/>
      <c r="N37" s="137"/>
      <c r="O37" s="131"/>
      <c r="P37" s="114">
        <f>H37-'基準年度の温室効果ガス計算シート'!H37</f>
        <v>0</v>
      </c>
      <c r="Q37" s="132"/>
      <c r="S37" s="302" t="s">
        <v>54</v>
      </c>
      <c r="T37" s="303"/>
      <c r="U37" s="127"/>
      <c r="V37" s="238">
        <v>45</v>
      </c>
      <c r="W37" s="304"/>
      <c r="X37" s="39">
        <f t="shared" si="2"/>
        <v>0</v>
      </c>
      <c r="Y37" s="40"/>
      <c r="Z37" s="18"/>
      <c r="AA37" s="18"/>
    </row>
    <row r="38" spans="1:27" ht="15" customHeight="1">
      <c r="A38" s="305"/>
      <c r="B38" s="138" t="s">
        <v>105</v>
      </c>
      <c r="C38" s="139"/>
      <c r="D38" s="139"/>
      <c r="E38" s="121"/>
      <c r="F38" s="121"/>
      <c r="G38" s="140">
        <f>SUM(G34:G36)</f>
        <v>0</v>
      </c>
      <c r="H38" s="121"/>
      <c r="I38" s="121"/>
      <c r="J38" s="141"/>
      <c r="K38" s="141"/>
      <c r="L38" s="142">
        <f>SUM(L34:L37)</f>
        <v>0</v>
      </c>
      <c r="M38" s="143"/>
      <c r="N38" s="125"/>
      <c r="O38" s="144">
        <f>SUM(O34:O37)</f>
        <v>0</v>
      </c>
      <c r="P38" s="144">
        <f>SUM(P34:P37)</f>
        <v>0</v>
      </c>
      <c r="Q38" s="141"/>
      <c r="S38" s="302" t="s">
        <v>124</v>
      </c>
      <c r="T38" s="303"/>
      <c r="U38" s="127"/>
      <c r="V38" s="238">
        <v>46.04655</v>
      </c>
      <c r="W38" s="304"/>
      <c r="X38" s="39">
        <f>ROUND(U38*V38,0)</f>
        <v>0</v>
      </c>
      <c r="Y38" s="40"/>
      <c r="Z38" s="18"/>
      <c r="AA38" s="18"/>
    </row>
    <row r="39" spans="1:27" ht="15" customHeight="1">
      <c r="A39" s="308" t="s">
        <v>127</v>
      </c>
      <c r="B39" s="308"/>
      <c r="C39" s="308"/>
      <c r="D39" s="308"/>
      <c r="E39" s="145"/>
      <c r="F39" s="146"/>
      <c r="G39" s="147">
        <f>G28+G33+G38</f>
        <v>0</v>
      </c>
      <c r="H39" s="148"/>
      <c r="I39" s="146"/>
      <c r="J39" s="149">
        <f>J28+J33</f>
        <v>0</v>
      </c>
      <c r="K39" s="147">
        <f>K28+K33</f>
        <v>0</v>
      </c>
      <c r="L39" s="150">
        <f>+L28+L33+L38</f>
        <v>0</v>
      </c>
      <c r="M39" s="151"/>
      <c r="N39" s="152"/>
      <c r="O39" s="153">
        <f>+O28+O33+O38</f>
        <v>0</v>
      </c>
      <c r="P39" s="153">
        <f>+P28+P33+P38</f>
        <v>0</v>
      </c>
      <c r="Q39" s="154">
        <f>+Q28+Q33+Q38</f>
        <v>0</v>
      </c>
      <c r="S39" s="302" t="s">
        <v>126</v>
      </c>
      <c r="T39" s="303"/>
      <c r="U39" s="127"/>
      <c r="V39" s="203"/>
      <c r="W39" s="309"/>
      <c r="X39" s="39"/>
      <c r="Y39" s="40"/>
      <c r="Z39" s="18"/>
      <c r="AA39" s="18"/>
    </row>
    <row r="40" spans="1:27" s="101" customFormat="1" ht="15" customHeight="1">
      <c r="A40" s="155"/>
      <c r="B40" s="155"/>
      <c r="C40" s="156"/>
      <c r="D40" s="156"/>
      <c r="E40" s="157"/>
      <c r="F40" s="158"/>
      <c r="G40" s="159"/>
      <c r="H40" s="157"/>
      <c r="I40" s="158"/>
      <c r="J40" s="159"/>
      <c r="K40" s="159"/>
      <c r="L40" s="160"/>
      <c r="S40" s="248" t="s">
        <v>32</v>
      </c>
      <c r="T40" s="249"/>
      <c r="U40" s="64">
        <f>SUM(U28:U39)</f>
        <v>0</v>
      </c>
      <c r="V40" s="310"/>
      <c r="W40" s="251"/>
      <c r="X40" s="65">
        <f>SUM(X28:X39)</f>
        <v>0</v>
      </c>
      <c r="Y40" s="66" t="e">
        <f>ROUND(X40/U40,5)</f>
        <v>#DIV/0!</v>
      </c>
      <c r="Z40" s="19"/>
      <c r="AA40" s="19"/>
    </row>
    <row r="41" spans="1:27" s="101" customFormat="1" ht="15" customHeight="1">
      <c r="A41" s="308" t="s">
        <v>128</v>
      </c>
      <c r="B41" s="308"/>
      <c r="C41" s="308"/>
      <c r="D41" s="308"/>
      <c r="E41" s="308"/>
      <c r="F41" s="311"/>
      <c r="G41" s="161">
        <f>G39*0.0258</f>
        <v>0</v>
      </c>
      <c r="H41" s="158"/>
      <c r="I41" s="158"/>
      <c r="J41" s="159"/>
      <c r="K41" s="159"/>
      <c r="L41" s="160"/>
      <c r="S41" s="19"/>
      <c r="T41" s="19"/>
      <c r="U41" s="19"/>
      <c r="V41" s="19"/>
      <c r="W41" s="19"/>
      <c r="X41" s="19"/>
      <c r="Y41" s="19"/>
      <c r="Z41" s="19"/>
      <c r="AA41" s="19"/>
    </row>
    <row r="42" spans="1:27" ht="13.5" customHeight="1">
      <c r="A42" s="155"/>
      <c r="B42" s="155"/>
      <c r="C42" s="155"/>
      <c r="D42" s="155"/>
      <c r="E42" s="158"/>
      <c r="F42" s="158"/>
      <c r="G42" s="162"/>
      <c r="H42" s="162"/>
      <c r="I42" s="158"/>
      <c r="J42" s="158"/>
      <c r="K42" s="158"/>
      <c r="L42" s="160"/>
      <c r="S42" s="18"/>
      <c r="T42" s="18"/>
      <c r="U42" s="18"/>
      <c r="V42" s="18"/>
      <c r="W42" s="18"/>
      <c r="X42" s="18"/>
      <c r="Y42" s="18"/>
      <c r="Z42" s="18"/>
      <c r="AA42" s="18"/>
    </row>
    <row r="43" spans="1:27" ht="31.5" customHeight="1">
      <c r="A43" s="155"/>
      <c r="B43" s="312" t="s">
        <v>129</v>
      </c>
      <c r="C43" s="313" t="s">
        <v>107</v>
      </c>
      <c r="D43" s="313"/>
      <c r="E43" s="83"/>
      <c r="F43" s="158"/>
      <c r="G43" s="314" t="s">
        <v>131</v>
      </c>
      <c r="H43" s="316"/>
      <c r="I43" s="163"/>
      <c r="J43" s="158"/>
      <c r="K43" s="158"/>
      <c r="L43" s="160"/>
      <c r="S43" s="81"/>
      <c r="T43" s="18"/>
      <c r="U43" s="18"/>
      <c r="V43" s="18"/>
      <c r="W43" s="18"/>
      <c r="X43" s="18"/>
      <c r="Y43" s="18"/>
      <c r="Z43" s="18"/>
      <c r="AA43" s="18"/>
    </row>
    <row r="44" spans="1:27" ht="31.5" customHeight="1">
      <c r="A44" s="155"/>
      <c r="B44" s="312"/>
      <c r="C44" s="269" t="s">
        <v>51</v>
      </c>
      <c r="D44" s="269"/>
      <c r="E44" s="83"/>
      <c r="F44" s="158"/>
      <c r="G44" s="315"/>
      <c r="H44" s="316"/>
      <c r="I44" s="158"/>
      <c r="J44" s="158"/>
      <c r="K44" s="158"/>
      <c r="L44" s="160"/>
      <c r="S44" s="18"/>
      <c r="T44" s="18"/>
      <c r="U44" s="18"/>
      <c r="V44" s="18"/>
      <c r="W44" s="18"/>
      <c r="X44" s="18"/>
      <c r="Y44" s="18"/>
      <c r="Z44" s="18"/>
      <c r="AA44" s="18"/>
    </row>
    <row r="45" spans="1:10" s="18" customFormat="1" ht="15" customHeight="1">
      <c r="A45" s="85" t="s">
        <v>132</v>
      </c>
      <c r="B45" s="85"/>
      <c r="G45" s="86"/>
      <c r="H45" s="86"/>
      <c r="I45" s="86"/>
      <c r="J45" s="86"/>
    </row>
    <row r="46" spans="1:10" s="18" customFormat="1" ht="15" customHeight="1">
      <c r="A46" s="87" t="s">
        <v>133</v>
      </c>
      <c r="B46" s="87"/>
      <c r="C46" s="85"/>
      <c r="G46" s="86"/>
      <c r="H46" s="86"/>
      <c r="I46" s="86"/>
      <c r="J46" s="86"/>
    </row>
    <row r="47" spans="1:9" s="18" customFormat="1" ht="13.5">
      <c r="A47" s="87" t="s">
        <v>59</v>
      </c>
      <c r="B47" s="88"/>
      <c r="C47" s="88"/>
      <c r="D47" s="88"/>
      <c r="E47" s="88"/>
      <c r="F47" s="88"/>
      <c r="G47" s="88"/>
      <c r="H47" s="88"/>
      <c r="I47" s="88"/>
    </row>
    <row r="48" spans="1:9" s="18" customFormat="1" ht="13.5">
      <c r="A48" s="87" t="s">
        <v>134</v>
      </c>
      <c r="B48" s="88"/>
      <c r="C48" s="88"/>
      <c r="D48" s="88"/>
      <c r="E48" s="88"/>
      <c r="F48" s="88"/>
      <c r="G48" s="88"/>
      <c r="H48" s="88"/>
      <c r="I48" s="88"/>
    </row>
    <row r="49" spans="1:19" s="18" customFormat="1" ht="13.5">
      <c r="A49" s="87" t="s">
        <v>179</v>
      </c>
      <c r="B49" s="89"/>
      <c r="C49" s="90"/>
      <c r="D49" s="90"/>
      <c r="E49" s="90"/>
      <c r="F49" s="90"/>
      <c r="G49" s="90"/>
      <c r="H49" s="90"/>
      <c r="I49" s="90"/>
      <c r="J49" s="19"/>
      <c r="K49" s="19"/>
      <c r="S49" s="34"/>
    </row>
    <row r="50" spans="1:26" s="18" customFormat="1" ht="13.5">
      <c r="A50" s="87"/>
      <c r="B50" s="87" t="s">
        <v>140</v>
      </c>
      <c r="C50" s="88"/>
      <c r="D50" s="88"/>
      <c r="E50" s="88"/>
      <c r="F50" s="88"/>
      <c r="G50" s="88"/>
      <c r="H50" s="88"/>
      <c r="I50" s="88"/>
      <c r="S50" s="291" t="s">
        <v>135</v>
      </c>
      <c r="T50" s="292"/>
      <c r="U50" s="293" t="s">
        <v>96</v>
      </c>
      <c r="V50" s="295" t="s">
        <v>136</v>
      </c>
      <c r="W50" s="291"/>
      <c r="X50" s="296" t="s">
        <v>138</v>
      </c>
      <c r="Y50" s="291" t="s">
        <v>99</v>
      </c>
      <c r="Z50" s="297"/>
    </row>
    <row r="51" spans="9:27" ht="13.5" customHeight="1">
      <c r="I51" s="101"/>
      <c r="S51" s="291"/>
      <c r="T51" s="292"/>
      <c r="U51" s="294"/>
      <c r="V51" s="295"/>
      <c r="W51" s="291"/>
      <c r="X51" s="296"/>
      <c r="Y51" s="291"/>
      <c r="Z51" s="297"/>
      <c r="AA51" s="18"/>
    </row>
    <row r="52" spans="13:27" ht="13.5">
      <c r="M52" s="18" t="s">
        <v>137</v>
      </c>
      <c r="N52" s="18"/>
      <c r="O52" s="18"/>
      <c r="P52" s="18"/>
      <c r="Q52" s="18"/>
      <c r="S52" s="302" t="s">
        <v>141</v>
      </c>
      <c r="T52" s="303"/>
      <c r="U52" s="127"/>
      <c r="V52" s="238"/>
      <c r="W52" s="304"/>
      <c r="X52" s="39">
        <f aca="true" t="shared" si="3" ref="X52:X61">U52*V52</f>
        <v>0</v>
      </c>
      <c r="Y52" s="40"/>
      <c r="Z52" s="18"/>
      <c r="AA52" s="18"/>
    </row>
    <row r="53" spans="2:27" ht="13.5" customHeight="1">
      <c r="B53" s="100" t="s">
        <v>90</v>
      </c>
      <c r="M53" s="164" t="s">
        <v>101</v>
      </c>
      <c r="N53" s="93"/>
      <c r="O53" s="93">
        <v>45</v>
      </c>
      <c r="P53" s="93"/>
      <c r="Q53" s="18"/>
      <c r="S53" s="302" t="s">
        <v>142</v>
      </c>
      <c r="T53" s="303"/>
      <c r="U53" s="127"/>
      <c r="V53" s="237"/>
      <c r="W53" s="238"/>
      <c r="X53" s="39">
        <f t="shared" si="3"/>
        <v>0</v>
      </c>
      <c r="Y53" s="40"/>
      <c r="Z53" s="18"/>
      <c r="AA53" s="18"/>
    </row>
    <row r="54" spans="2:27" ht="13.5" customHeight="1">
      <c r="B54" s="312" t="s">
        <v>129</v>
      </c>
      <c r="C54" s="313" t="s">
        <v>107</v>
      </c>
      <c r="D54" s="313"/>
      <c r="E54" s="83">
        <f>'基準年度の温室効果ガス計算シート'!E43</f>
        <v>0</v>
      </c>
      <c r="F54" s="158"/>
      <c r="G54" s="314" t="s">
        <v>131</v>
      </c>
      <c r="H54" s="316">
        <f>'基準年度の温室効果ガス計算シート'!H43</f>
        <v>0</v>
      </c>
      <c r="M54" s="164" t="s">
        <v>104</v>
      </c>
      <c r="N54" s="93"/>
      <c r="O54" s="93">
        <v>45</v>
      </c>
      <c r="P54" s="93"/>
      <c r="Q54" s="18"/>
      <c r="S54" s="302"/>
      <c r="T54" s="303"/>
      <c r="U54" s="127"/>
      <c r="V54" s="238"/>
      <c r="W54" s="304"/>
      <c r="X54" s="39">
        <f t="shared" si="3"/>
        <v>0</v>
      </c>
      <c r="Y54" s="40"/>
      <c r="Z54" s="18"/>
      <c r="AA54" s="18"/>
    </row>
    <row r="55" spans="2:27" ht="13.5">
      <c r="B55" s="312"/>
      <c r="C55" s="269" t="s">
        <v>51</v>
      </c>
      <c r="D55" s="269"/>
      <c r="E55" s="83">
        <f>'基準年度の温室効果ガス計算シート'!E44</f>
        <v>0</v>
      </c>
      <c r="F55" s="158"/>
      <c r="G55" s="315"/>
      <c r="H55" s="316"/>
      <c r="M55" s="164" t="s">
        <v>108</v>
      </c>
      <c r="N55" s="93"/>
      <c r="O55" s="93">
        <v>46</v>
      </c>
      <c r="P55" s="93"/>
      <c r="Q55" s="18"/>
      <c r="S55" s="302"/>
      <c r="T55" s="303"/>
      <c r="U55" s="127"/>
      <c r="V55" s="238"/>
      <c r="W55" s="304"/>
      <c r="X55" s="39">
        <f t="shared" si="3"/>
        <v>0</v>
      </c>
      <c r="Y55" s="40"/>
      <c r="Z55" s="18"/>
      <c r="AA55" s="18"/>
    </row>
    <row r="56" spans="13:27" ht="13.5">
      <c r="M56" s="164" t="s">
        <v>113</v>
      </c>
      <c r="N56" s="93"/>
      <c r="O56" s="93">
        <v>62</v>
      </c>
      <c r="P56" s="93"/>
      <c r="Q56" s="18"/>
      <c r="S56" s="302"/>
      <c r="T56" s="303"/>
      <c r="U56" s="127"/>
      <c r="V56" s="238"/>
      <c r="W56" s="304"/>
      <c r="X56" s="39">
        <f t="shared" si="3"/>
        <v>0</v>
      </c>
      <c r="Y56" s="40"/>
      <c r="Z56" s="18"/>
      <c r="AA56" s="18"/>
    </row>
    <row r="57" spans="13:27" ht="13.5" customHeight="1">
      <c r="M57" s="164" t="s">
        <v>114</v>
      </c>
      <c r="N57" s="93"/>
      <c r="O57" s="93">
        <v>45</v>
      </c>
      <c r="P57" s="93"/>
      <c r="Q57" s="18"/>
      <c r="S57" s="302"/>
      <c r="T57" s="303"/>
      <c r="U57" s="127"/>
      <c r="V57" s="238"/>
      <c r="W57" s="304"/>
      <c r="X57" s="39">
        <f t="shared" si="3"/>
        <v>0</v>
      </c>
      <c r="Y57" s="40"/>
      <c r="Z57" s="18"/>
      <c r="AA57" s="18"/>
    </row>
    <row r="58" spans="13:27" ht="13.5">
      <c r="M58" s="164" t="s">
        <v>8</v>
      </c>
      <c r="N58" s="93"/>
      <c r="O58" s="93">
        <v>45</v>
      </c>
      <c r="P58" s="93"/>
      <c r="Q58" s="18"/>
      <c r="S58" s="302"/>
      <c r="T58" s="303"/>
      <c r="U58" s="127"/>
      <c r="V58" s="238"/>
      <c r="W58" s="304"/>
      <c r="X58" s="39">
        <f t="shared" si="3"/>
        <v>0</v>
      </c>
      <c r="Y58" s="40"/>
      <c r="Z58" s="18"/>
      <c r="AA58" s="18"/>
    </row>
    <row r="59" spans="13:27" ht="13.5">
      <c r="M59" s="164" t="s">
        <v>117</v>
      </c>
      <c r="N59" s="93"/>
      <c r="O59" s="93">
        <v>45</v>
      </c>
      <c r="P59" s="93"/>
      <c r="Q59" s="18"/>
      <c r="S59" s="302"/>
      <c r="T59" s="303"/>
      <c r="U59" s="127"/>
      <c r="V59" s="238"/>
      <c r="W59" s="304"/>
      <c r="X59" s="39">
        <f t="shared" si="3"/>
        <v>0</v>
      </c>
      <c r="Y59" s="40"/>
      <c r="Z59" s="18"/>
      <c r="AA59" s="18"/>
    </row>
    <row r="60" spans="13:27" ht="13.5">
      <c r="M60" s="164" t="s">
        <v>16</v>
      </c>
      <c r="N60" s="93"/>
      <c r="O60" s="93">
        <v>45</v>
      </c>
      <c r="P60" s="93"/>
      <c r="Q60" s="18"/>
      <c r="S60" s="302"/>
      <c r="T60" s="303"/>
      <c r="U60" s="127"/>
      <c r="V60" s="238"/>
      <c r="W60" s="304"/>
      <c r="X60" s="39">
        <f t="shared" si="3"/>
        <v>0</v>
      </c>
      <c r="Y60" s="40"/>
      <c r="Z60" s="18"/>
      <c r="AA60" s="18"/>
    </row>
    <row r="61" spans="13:27" ht="13.5">
      <c r="M61" s="164" t="s">
        <v>121</v>
      </c>
      <c r="N61" s="93"/>
      <c r="O61" s="93">
        <v>45</v>
      </c>
      <c r="P61" s="93"/>
      <c r="Q61" s="18"/>
      <c r="S61" s="302"/>
      <c r="T61" s="303"/>
      <c r="U61" s="127"/>
      <c r="V61" s="238"/>
      <c r="W61" s="304"/>
      <c r="X61" s="39">
        <f t="shared" si="3"/>
        <v>0</v>
      </c>
      <c r="Y61" s="40"/>
      <c r="Z61" s="18"/>
      <c r="AA61" s="18"/>
    </row>
    <row r="62" spans="13:27" ht="13.5">
      <c r="M62" s="164" t="s">
        <v>54</v>
      </c>
      <c r="N62" s="93"/>
      <c r="O62" s="93">
        <v>45</v>
      </c>
      <c r="P62" s="93"/>
      <c r="Q62" s="18"/>
      <c r="S62" s="302"/>
      <c r="T62" s="303"/>
      <c r="U62" s="127"/>
      <c r="V62" s="238"/>
      <c r="W62" s="304"/>
      <c r="X62" s="39">
        <f>ROUND(U62*V62,0)</f>
        <v>0</v>
      </c>
      <c r="Y62" s="40"/>
      <c r="Z62" s="18"/>
      <c r="AA62" s="18"/>
    </row>
    <row r="63" spans="13:27" ht="13.5">
      <c r="M63" s="165" t="s">
        <v>124</v>
      </c>
      <c r="N63" s="93"/>
      <c r="O63" s="93">
        <v>46.04655</v>
      </c>
      <c r="P63" s="18"/>
      <c r="Q63" s="18"/>
      <c r="S63" s="302"/>
      <c r="T63" s="303"/>
      <c r="U63" s="127"/>
      <c r="V63" s="238"/>
      <c r="W63" s="304"/>
      <c r="X63" s="39"/>
      <c r="Y63" s="40"/>
      <c r="Z63" s="18"/>
      <c r="AA63" s="18"/>
    </row>
    <row r="64" spans="13:27" ht="13.5">
      <c r="M64" s="18"/>
      <c r="N64" s="18"/>
      <c r="O64" s="18"/>
      <c r="P64" s="18"/>
      <c r="Q64" s="18"/>
      <c r="S64" s="248" t="s">
        <v>32</v>
      </c>
      <c r="T64" s="249"/>
      <c r="U64" s="64">
        <f>SUM(U52:U63)</f>
        <v>0</v>
      </c>
      <c r="V64" s="310"/>
      <c r="W64" s="251"/>
      <c r="X64" s="65">
        <f>SUM(X52:X63)</f>
        <v>0</v>
      </c>
      <c r="Y64" s="66" t="e">
        <f>ROUND(X64/U64,5)</f>
        <v>#DIV/0!</v>
      </c>
      <c r="Z64" s="19"/>
      <c r="AA64" s="19"/>
    </row>
    <row r="65" spans="13:27" ht="13.5">
      <c r="M65" s="18" t="s">
        <v>159</v>
      </c>
      <c r="N65" s="18"/>
      <c r="O65" s="18"/>
      <c r="P65" s="18"/>
      <c r="Q65" s="18"/>
      <c r="S65" s="19"/>
      <c r="T65" s="19"/>
      <c r="U65" s="19"/>
      <c r="V65" s="19"/>
      <c r="W65" s="19"/>
      <c r="X65" s="19"/>
      <c r="Y65" s="19"/>
      <c r="Z65" s="19"/>
      <c r="AA65" s="19"/>
    </row>
    <row r="66" spans="13:27" ht="13.5">
      <c r="M66" s="18" t="s">
        <v>161</v>
      </c>
      <c r="N66" s="18"/>
      <c r="O66" s="18"/>
      <c r="P66" s="18"/>
      <c r="Q66" s="18"/>
      <c r="S66" s="18"/>
      <c r="T66" s="18"/>
      <c r="U66" s="18"/>
      <c r="V66" s="18"/>
      <c r="W66" s="18"/>
      <c r="X66" s="18"/>
      <c r="Y66" s="18"/>
      <c r="Z66" s="18"/>
      <c r="AA66" s="18"/>
    </row>
    <row r="67" spans="19:27" ht="13.5">
      <c r="S67" s="81"/>
      <c r="T67" s="18"/>
      <c r="U67" s="18"/>
      <c r="V67" s="18"/>
      <c r="W67" s="18"/>
      <c r="X67" s="18"/>
      <c r="Y67" s="18"/>
      <c r="Z67" s="18"/>
      <c r="AA67" s="18"/>
    </row>
    <row r="68" spans="19:27" ht="13.5">
      <c r="S68" s="18"/>
      <c r="T68" s="18"/>
      <c r="U68" s="18"/>
      <c r="V68" s="18"/>
      <c r="W68" s="18"/>
      <c r="X68" s="18"/>
      <c r="Y68" s="18"/>
      <c r="Z68" s="18"/>
      <c r="AA68" s="18"/>
    </row>
    <row r="69" spans="2:27" ht="13.5">
      <c r="B69" s="278" t="s">
        <v>118</v>
      </c>
      <c r="C69" s="307" t="s">
        <v>107</v>
      </c>
      <c r="D69" s="280" t="s">
        <v>119</v>
      </c>
      <c r="E69" s="280"/>
      <c r="F69" s="166">
        <f>E34</f>
        <v>0</v>
      </c>
      <c r="G69" s="167" t="s">
        <v>18</v>
      </c>
      <c r="H69" s="168">
        <f>ROUND(F69*9.97,1)</f>
        <v>0</v>
      </c>
      <c r="I69" s="169"/>
      <c r="J69" s="167" t="s">
        <v>18</v>
      </c>
      <c r="K69" s="170"/>
      <c r="L69" s="171"/>
      <c r="M69" s="172">
        <f>ROUND(F69*E54,0)</f>
        <v>0</v>
      </c>
      <c r="N69" s="173">
        <v>9.97</v>
      </c>
      <c r="O69" s="174" t="s">
        <v>120</v>
      </c>
      <c r="S69" s="18"/>
      <c r="T69" s="18"/>
      <c r="U69" s="18"/>
      <c r="V69" s="18"/>
      <c r="W69" s="18"/>
      <c r="X69" s="18"/>
      <c r="Y69" s="18"/>
      <c r="Z69" s="18"/>
      <c r="AA69" s="18"/>
    </row>
    <row r="70" spans="2:27" ht="13.5">
      <c r="B70" s="279"/>
      <c r="C70" s="283"/>
      <c r="D70" s="280" t="s">
        <v>122</v>
      </c>
      <c r="E70" s="280"/>
      <c r="F70" s="166">
        <f>E35</f>
        <v>0</v>
      </c>
      <c r="G70" s="167" t="s">
        <v>18</v>
      </c>
      <c r="H70" s="168">
        <f>ROUND(F70*9.28,1)</f>
        <v>0</v>
      </c>
      <c r="I70" s="169"/>
      <c r="J70" s="167" t="s">
        <v>18</v>
      </c>
      <c r="K70" s="133"/>
      <c r="L70" s="171"/>
      <c r="M70" s="172">
        <f>ROUND(F70*E54,0)</f>
        <v>0</v>
      </c>
      <c r="N70" s="173">
        <v>9.28</v>
      </c>
      <c r="O70" s="174" t="s">
        <v>120</v>
      </c>
      <c r="S70" s="18"/>
      <c r="T70" s="18"/>
      <c r="U70" s="18"/>
      <c r="V70" s="18"/>
      <c r="W70" s="18"/>
      <c r="X70" s="18"/>
      <c r="Y70" s="18"/>
      <c r="Z70" s="18"/>
      <c r="AA70" s="18"/>
    </row>
    <row r="71" spans="2:27" ht="13.5">
      <c r="B71" s="279"/>
      <c r="C71" s="284" t="s">
        <v>51</v>
      </c>
      <c r="D71" s="280" t="s">
        <v>123</v>
      </c>
      <c r="E71" s="280"/>
      <c r="F71" s="166">
        <f>E36</f>
        <v>0</v>
      </c>
      <c r="G71" s="167" t="s">
        <v>18</v>
      </c>
      <c r="H71" s="168">
        <f>ROUND(F71*9.76,1)</f>
        <v>0</v>
      </c>
      <c r="I71" s="169"/>
      <c r="J71" s="167" t="s">
        <v>18</v>
      </c>
      <c r="K71" s="175"/>
      <c r="L71" s="176"/>
      <c r="M71" s="172">
        <f>ROUND(F71*E55,0)</f>
        <v>0</v>
      </c>
      <c r="N71" s="173">
        <v>9.76</v>
      </c>
      <c r="O71" s="174" t="s">
        <v>120</v>
      </c>
      <c r="S71" s="18"/>
      <c r="T71" s="18"/>
      <c r="U71" s="18"/>
      <c r="V71" s="18"/>
      <c r="W71" s="18"/>
      <c r="X71" s="18"/>
      <c r="Y71" s="18"/>
      <c r="Z71" s="18"/>
      <c r="AA71" s="18"/>
    </row>
    <row r="72" spans="2:27" ht="13.5">
      <c r="B72" s="279"/>
      <c r="C72" s="286"/>
      <c r="D72" s="280" t="s">
        <v>125</v>
      </c>
      <c r="E72" s="280"/>
      <c r="F72" s="169"/>
      <c r="G72" s="167" t="s">
        <v>18</v>
      </c>
      <c r="H72" s="177"/>
      <c r="I72" s="166">
        <f>H37</f>
        <v>0</v>
      </c>
      <c r="J72" s="167" t="s">
        <v>18</v>
      </c>
      <c r="K72" s="178"/>
      <c r="L72" s="178"/>
      <c r="M72" s="172">
        <f>ROUND(I72*-H54,0)</f>
        <v>0</v>
      </c>
      <c r="N72" s="179"/>
      <c r="O72" s="180"/>
      <c r="S72" s="18"/>
      <c r="T72" s="18"/>
      <c r="U72" s="18"/>
      <c r="V72" s="18"/>
      <c r="W72" s="18"/>
      <c r="X72" s="18"/>
      <c r="Y72" s="18"/>
      <c r="Z72" s="18"/>
      <c r="AA72" s="18"/>
    </row>
    <row r="73" spans="2:27" ht="13.5">
      <c r="B73" s="305"/>
      <c r="C73" s="138" t="s">
        <v>105</v>
      </c>
      <c r="D73" s="139"/>
      <c r="E73" s="139"/>
      <c r="F73" s="181"/>
      <c r="G73" s="181"/>
      <c r="H73" s="181"/>
      <c r="I73" s="181"/>
      <c r="J73" s="181"/>
      <c r="K73" s="182"/>
      <c r="L73" s="182"/>
      <c r="M73" s="183">
        <f>SUM(M69:M72)</f>
        <v>0</v>
      </c>
      <c r="N73" s="184"/>
      <c r="O73" s="185"/>
      <c r="S73" s="18"/>
      <c r="T73" s="18"/>
      <c r="U73" s="18"/>
      <c r="V73" s="18"/>
      <c r="W73" s="18"/>
      <c r="X73" s="18"/>
      <c r="Y73" s="18"/>
      <c r="Z73" s="18"/>
      <c r="AA73" s="18"/>
    </row>
    <row r="74" spans="2:27" ht="13.5">
      <c r="B74" s="308" t="s">
        <v>127</v>
      </c>
      <c r="C74" s="308"/>
      <c r="D74" s="308"/>
      <c r="E74" s="308"/>
      <c r="F74" s="186"/>
      <c r="G74" s="187"/>
      <c r="H74" s="181"/>
      <c r="I74" s="188"/>
      <c r="J74" s="187"/>
      <c r="K74" s="187"/>
      <c r="L74" s="187"/>
      <c r="M74" s="189">
        <f>L28+L33+M73</f>
        <v>0</v>
      </c>
      <c r="N74" s="190"/>
      <c r="O74" s="191"/>
      <c r="S74" s="18"/>
      <c r="T74" s="18"/>
      <c r="U74" s="18"/>
      <c r="V74" s="18"/>
      <c r="W74" s="18"/>
      <c r="X74" s="18"/>
      <c r="Y74" s="18"/>
      <c r="Z74" s="18"/>
      <c r="AA74" s="18"/>
    </row>
    <row r="75" spans="19:27" ht="13.5">
      <c r="S75" s="18"/>
      <c r="T75" s="18"/>
      <c r="U75" s="18"/>
      <c r="V75" s="18"/>
      <c r="W75" s="18"/>
      <c r="X75" s="18"/>
      <c r="Y75" s="18"/>
      <c r="Z75" s="18"/>
      <c r="AA75" s="18"/>
    </row>
    <row r="76" spans="9:14" ht="13.5">
      <c r="I76" s="95" t="s">
        <v>164</v>
      </c>
      <c r="J76" s="18"/>
      <c r="K76" s="18"/>
      <c r="L76" s="18"/>
      <c r="M76" s="18"/>
      <c r="N76" s="18"/>
    </row>
    <row r="77" spans="9:14" ht="13.5">
      <c r="I77" s="266" t="s">
        <v>165</v>
      </c>
      <c r="J77" s="267"/>
      <c r="K77" s="268"/>
      <c r="L77" s="96" t="e">
        <f>N105/L79</f>
        <v>#VALUE!</v>
      </c>
      <c r="M77" s="18"/>
      <c r="N77" s="18"/>
    </row>
    <row r="78" spans="9:14" ht="13.5">
      <c r="I78" s="18"/>
      <c r="J78" s="18"/>
      <c r="K78" s="18"/>
      <c r="L78" s="18"/>
      <c r="M78" s="18"/>
      <c r="N78" s="18"/>
    </row>
    <row r="79" spans="9:14" ht="13.5">
      <c r="I79" s="212" t="s">
        <v>168</v>
      </c>
      <c r="J79" s="213"/>
      <c r="K79" s="214"/>
      <c r="L79" s="97">
        <f>E37+H37</f>
        <v>0</v>
      </c>
      <c r="M79" s="22" t="s">
        <v>169</v>
      </c>
      <c r="N79" s="18"/>
    </row>
    <row r="80" spans="9:14" ht="13.5">
      <c r="I80" s="18" t="s">
        <v>170</v>
      </c>
      <c r="J80" s="18"/>
      <c r="K80" s="18"/>
      <c r="L80" s="18"/>
      <c r="M80" s="18"/>
      <c r="N80" s="18"/>
    </row>
    <row r="81" spans="9:14" ht="13.5">
      <c r="I81" s="317" t="s">
        <v>66</v>
      </c>
      <c r="J81" s="317"/>
      <c r="K81" s="317"/>
      <c r="L81" s="25"/>
      <c r="M81" s="26" t="s">
        <v>67</v>
      </c>
      <c r="N81" s="18">
        <f>ROUND(L81*M4*0.0187*44/12,0)</f>
        <v>0</v>
      </c>
    </row>
    <row r="82" spans="9:14" ht="13.5">
      <c r="I82" s="317" t="s">
        <v>46</v>
      </c>
      <c r="J82" s="317"/>
      <c r="K82" s="317"/>
      <c r="L82" s="25"/>
      <c r="M82" s="26" t="s">
        <v>67</v>
      </c>
      <c r="N82" s="18">
        <f>ROUND(L82*M5*0.0184*44/12,0)</f>
        <v>0</v>
      </c>
    </row>
    <row r="83" spans="9:14" ht="13.5">
      <c r="I83" s="317" t="s">
        <v>68</v>
      </c>
      <c r="J83" s="317"/>
      <c r="K83" s="317"/>
      <c r="L83" s="25"/>
      <c r="M83" s="26" t="s">
        <v>67</v>
      </c>
      <c r="N83" s="18">
        <f>ROUND(L83*M6*0.0183*44/12,0)</f>
        <v>0</v>
      </c>
    </row>
    <row r="84" spans="9:14" ht="13.5">
      <c r="I84" s="317" t="s">
        <v>15</v>
      </c>
      <c r="J84" s="317"/>
      <c r="K84" s="317"/>
      <c r="L84" s="25"/>
      <c r="M84" s="26" t="s">
        <v>67</v>
      </c>
      <c r="N84" s="18">
        <f>ROUND(L84*M7*0.0182*44/12,0)</f>
        <v>0</v>
      </c>
    </row>
    <row r="85" spans="9:14" ht="13.5">
      <c r="I85" s="318" t="s">
        <v>72</v>
      </c>
      <c r="J85" s="318"/>
      <c r="K85" s="318"/>
      <c r="L85" s="25"/>
      <c r="M85" s="26" t="s">
        <v>67</v>
      </c>
      <c r="N85" s="18">
        <f>ROUND(L85*M8*0.0185*44/12,0)</f>
        <v>0</v>
      </c>
    </row>
    <row r="86" spans="9:14" ht="13.5">
      <c r="I86" s="318" t="s">
        <v>73</v>
      </c>
      <c r="J86" s="318"/>
      <c r="K86" s="318"/>
      <c r="L86" s="25"/>
      <c r="M86" s="26" t="s">
        <v>67</v>
      </c>
      <c r="N86" s="18">
        <f>ROUND(L86*M9*0.0187*44/12,0)</f>
        <v>0</v>
      </c>
    </row>
    <row r="87" spans="9:14" ht="13.5">
      <c r="I87" s="318" t="s">
        <v>38</v>
      </c>
      <c r="J87" s="318"/>
      <c r="K87" s="318"/>
      <c r="L87" s="25"/>
      <c r="M87" s="26" t="s">
        <v>67</v>
      </c>
      <c r="N87" s="18">
        <f>ROUND(L87*M10*0.0189*44/12,0)</f>
        <v>0</v>
      </c>
    </row>
    <row r="88" spans="9:14" ht="13.5">
      <c r="I88" s="318" t="s">
        <v>70</v>
      </c>
      <c r="J88" s="318"/>
      <c r="K88" s="318"/>
      <c r="L88" s="25"/>
      <c r="M88" s="26" t="s">
        <v>67</v>
      </c>
      <c r="N88" s="18">
        <f>ROUND(L88*M11*0.0195*44/12,0)</f>
        <v>0</v>
      </c>
    </row>
    <row r="89" spans="9:14" ht="13.5">
      <c r="I89" s="318" t="s">
        <v>74</v>
      </c>
      <c r="J89" s="318"/>
      <c r="K89" s="318"/>
      <c r="L89" s="25"/>
      <c r="M89" s="26" t="s">
        <v>75</v>
      </c>
      <c r="N89" s="18">
        <f>ROUND(L89*M12*0.0208*44/12,0)</f>
        <v>0</v>
      </c>
    </row>
    <row r="90" spans="9:14" ht="13.5">
      <c r="I90" s="318" t="s">
        <v>77</v>
      </c>
      <c r="J90" s="318"/>
      <c r="K90" s="318"/>
      <c r="L90" s="25"/>
      <c r="M90" s="26" t="s">
        <v>75</v>
      </c>
      <c r="N90" s="18">
        <f>ROUND(L90*M13*0.0254*44/12,0)</f>
        <v>0</v>
      </c>
    </row>
    <row r="91" spans="9:14" ht="13.5">
      <c r="I91" s="215" t="s">
        <v>78</v>
      </c>
      <c r="J91" s="317" t="s">
        <v>79</v>
      </c>
      <c r="K91" s="317"/>
      <c r="L91" s="25"/>
      <c r="M91" s="26" t="s">
        <v>75</v>
      </c>
      <c r="N91" s="18">
        <f>ROUND(L91*M14*0.0161*44/12,0)</f>
        <v>0</v>
      </c>
    </row>
    <row r="92" spans="9:14" ht="13.5">
      <c r="I92" s="216"/>
      <c r="J92" s="317" t="s">
        <v>80</v>
      </c>
      <c r="K92" s="317"/>
      <c r="L92" s="25"/>
      <c r="M92" s="26" t="s">
        <v>30</v>
      </c>
      <c r="N92" s="18">
        <f>ROUND(L92*M15*0.0142*44/12,0)</f>
        <v>0</v>
      </c>
    </row>
    <row r="93" spans="9:14" ht="13.5">
      <c r="I93" s="215" t="s">
        <v>82</v>
      </c>
      <c r="J93" s="317" t="s">
        <v>83</v>
      </c>
      <c r="K93" s="317"/>
      <c r="L93" s="25"/>
      <c r="M93" s="26" t="s">
        <v>75</v>
      </c>
      <c r="N93" s="18">
        <f>ROUND(L93*M16*0.0135*44/12,0)</f>
        <v>0</v>
      </c>
    </row>
    <row r="94" spans="9:14" ht="13.5">
      <c r="I94" s="216"/>
      <c r="J94" s="317" t="s">
        <v>85</v>
      </c>
      <c r="K94" s="317"/>
      <c r="L94" s="25"/>
      <c r="M94" s="26" t="s">
        <v>30</v>
      </c>
      <c r="N94" s="18">
        <f>ROUND(L94*M17*0.0139*44/12,0)</f>
        <v>0</v>
      </c>
    </row>
    <row r="95" spans="9:14" ht="13.5">
      <c r="I95" s="217" t="s">
        <v>87</v>
      </c>
      <c r="J95" s="317" t="s">
        <v>88</v>
      </c>
      <c r="K95" s="317"/>
      <c r="L95" s="25"/>
      <c r="M95" s="26" t="s">
        <v>75</v>
      </c>
      <c r="N95" s="18">
        <f>ROUND(L95*M18*0.0245*44/12,0)</f>
        <v>0</v>
      </c>
    </row>
    <row r="96" spans="9:14" ht="13.5">
      <c r="I96" s="218"/>
      <c r="J96" s="317" t="s">
        <v>89</v>
      </c>
      <c r="K96" s="317"/>
      <c r="L96" s="25"/>
      <c r="M96" s="26" t="s">
        <v>75</v>
      </c>
      <c r="N96" s="18">
        <f>ROUND(L96*M19*0.0247*44/12,0)</f>
        <v>0</v>
      </c>
    </row>
    <row r="97" spans="9:14" ht="13.5">
      <c r="I97" s="219"/>
      <c r="J97" s="317" t="s">
        <v>33</v>
      </c>
      <c r="K97" s="317"/>
      <c r="L97" s="25"/>
      <c r="M97" s="26" t="s">
        <v>75</v>
      </c>
      <c r="N97" s="18">
        <f>ROUND(L97*M20*0.0255*44/12,0)</f>
        <v>0</v>
      </c>
    </row>
    <row r="98" spans="9:14" ht="13.5">
      <c r="I98" s="318" t="s">
        <v>3</v>
      </c>
      <c r="J98" s="318"/>
      <c r="K98" s="318"/>
      <c r="L98" s="25"/>
      <c r="M98" s="26" t="s">
        <v>75</v>
      </c>
      <c r="N98" s="18">
        <f>ROUND(L98*M21*0.0294*44/12,0)</f>
        <v>0</v>
      </c>
    </row>
    <row r="99" spans="9:14" ht="13.5">
      <c r="I99" s="318" t="s">
        <v>91</v>
      </c>
      <c r="J99" s="318"/>
      <c r="K99" s="318"/>
      <c r="L99" s="25"/>
      <c r="M99" s="26" t="s">
        <v>75</v>
      </c>
      <c r="N99" s="18">
        <f>ROUND(L99*M22*0.0209*44/12,0)</f>
        <v>0</v>
      </c>
    </row>
    <row r="100" spans="9:14" ht="13.5">
      <c r="I100" s="318" t="s">
        <v>92</v>
      </c>
      <c r="J100" s="318"/>
      <c r="K100" s="318"/>
      <c r="L100" s="25"/>
      <c r="M100" s="26" t="s">
        <v>30</v>
      </c>
      <c r="N100" s="18">
        <f>ROUND(L100*M23*0.011*44/12,0)</f>
        <v>0</v>
      </c>
    </row>
    <row r="101" spans="9:14" ht="13.5">
      <c r="I101" s="318" t="s">
        <v>93</v>
      </c>
      <c r="J101" s="318"/>
      <c r="K101" s="318"/>
      <c r="L101" s="25"/>
      <c r="M101" s="26" t="s">
        <v>30</v>
      </c>
      <c r="N101" s="18">
        <f>ROUND(L101*M24*0.0263*44/12,0)</f>
        <v>0</v>
      </c>
    </row>
    <row r="102" spans="9:14" ht="13.5">
      <c r="I102" s="318" t="s">
        <v>100</v>
      </c>
      <c r="J102" s="318"/>
      <c r="K102" s="318"/>
      <c r="L102" s="25"/>
      <c r="M102" s="26" t="s">
        <v>30</v>
      </c>
      <c r="N102" s="18">
        <f>ROUND(L102*M25*0.0384*44/12,0)</f>
        <v>0</v>
      </c>
    </row>
    <row r="103" spans="9:14" ht="13.5">
      <c r="I103" s="233" t="s">
        <v>42</v>
      </c>
      <c r="J103" s="209" t="s">
        <v>69</v>
      </c>
      <c r="K103" s="211"/>
      <c r="L103" s="25"/>
      <c r="M103" s="26" t="s">
        <v>30</v>
      </c>
      <c r="N103" s="18" t="e">
        <f>ROUND(L103*M26*0.0136*44/12,0)</f>
        <v>#VALUE!</v>
      </c>
    </row>
    <row r="104" spans="9:14" ht="13.5">
      <c r="I104" s="234"/>
      <c r="J104" s="239" t="s">
        <v>102</v>
      </c>
      <c r="K104" s="240"/>
      <c r="L104" s="25"/>
      <c r="M104" s="26" t="s">
        <v>30</v>
      </c>
      <c r="N104" s="18">
        <f>ROUND(L104*M27*0.0136*44/12,0)</f>
        <v>0</v>
      </c>
    </row>
    <row r="105" spans="9:14" ht="13.5">
      <c r="I105" s="18" t="s">
        <v>180</v>
      </c>
      <c r="J105" s="18"/>
      <c r="K105" s="18"/>
      <c r="L105" s="18"/>
      <c r="M105" s="18"/>
      <c r="N105" s="18" t="e">
        <f>SUM(N81:N104)</f>
        <v>#VALUE!</v>
      </c>
    </row>
  </sheetData>
  <sheetProtection formatCells="0" formatColumns="0" formatRows="0" insertColumns="0" insertRows="0" deleteColumns="0" deleteRows="0"/>
  <mergeCells count="164">
    <mergeCell ref="I102:K102"/>
    <mergeCell ref="I103:I104"/>
    <mergeCell ref="J103:K103"/>
    <mergeCell ref="J104:K104"/>
    <mergeCell ref="I98:K98"/>
    <mergeCell ref="I99:K99"/>
    <mergeCell ref="I100:K100"/>
    <mergeCell ref="I101:K101"/>
    <mergeCell ref="I93:I94"/>
    <mergeCell ref="J93:K93"/>
    <mergeCell ref="J94:K94"/>
    <mergeCell ref="I95:I97"/>
    <mergeCell ref="J95:K95"/>
    <mergeCell ref="J96:K96"/>
    <mergeCell ref="J97:K97"/>
    <mergeCell ref="I90:K90"/>
    <mergeCell ref="I91:I92"/>
    <mergeCell ref="J91:K91"/>
    <mergeCell ref="J92:K92"/>
    <mergeCell ref="I86:K86"/>
    <mergeCell ref="I87:K87"/>
    <mergeCell ref="I88:K88"/>
    <mergeCell ref="I89:K89"/>
    <mergeCell ref="I82:K82"/>
    <mergeCell ref="I83:K83"/>
    <mergeCell ref="I84:K84"/>
    <mergeCell ref="I85:K85"/>
    <mergeCell ref="B74:E74"/>
    <mergeCell ref="I77:K77"/>
    <mergeCell ref="I79:K79"/>
    <mergeCell ref="I81:K81"/>
    <mergeCell ref="S64:T64"/>
    <mergeCell ref="V64:W64"/>
    <mergeCell ref="B69:B73"/>
    <mergeCell ref="C69:C70"/>
    <mergeCell ref="D69:E69"/>
    <mergeCell ref="D70:E70"/>
    <mergeCell ref="C71:C72"/>
    <mergeCell ref="D71:E71"/>
    <mergeCell ref="D72:E72"/>
    <mergeCell ref="S62:T62"/>
    <mergeCell ref="V62:W62"/>
    <mergeCell ref="S63:T63"/>
    <mergeCell ref="V63:W63"/>
    <mergeCell ref="S60:T60"/>
    <mergeCell ref="V60:W60"/>
    <mergeCell ref="S61:T61"/>
    <mergeCell ref="V61:W61"/>
    <mergeCell ref="S58:T58"/>
    <mergeCell ref="V58:W58"/>
    <mergeCell ref="S59:T59"/>
    <mergeCell ref="V59:W59"/>
    <mergeCell ref="V55:W55"/>
    <mergeCell ref="S56:T56"/>
    <mergeCell ref="V56:W56"/>
    <mergeCell ref="S57:T57"/>
    <mergeCell ref="V57:W57"/>
    <mergeCell ref="S53:T53"/>
    <mergeCell ref="V53:W53"/>
    <mergeCell ref="B54:B55"/>
    <mergeCell ref="C54:D54"/>
    <mergeCell ref="G54:G55"/>
    <mergeCell ref="H54:H55"/>
    <mergeCell ref="S54:T54"/>
    <mergeCell ref="V54:W54"/>
    <mergeCell ref="C55:D55"/>
    <mergeCell ref="S55:T55"/>
    <mergeCell ref="Y50:Y51"/>
    <mergeCell ref="Z50:Z51"/>
    <mergeCell ref="S52:T52"/>
    <mergeCell ref="V52:W52"/>
    <mergeCell ref="S50:T51"/>
    <mergeCell ref="U50:U51"/>
    <mergeCell ref="V50:W51"/>
    <mergeCell ref="X50:X51"/>
    <mergeCell ref="S40:T40"/>
    <mergeCell ref="V40:W40"/>
    <mergeCell ref="A41:F41"/>
    <mergeCell ref="B43:B44"/>
    <mergeCell ref="C43:D43"/>
    <mergeCell ref="G43:G44"/>
    <mergeCell ref="H43:H44"/>
    <mergeCell ref="C44:D44"/>
    <mergeCell ref="V38:W38"/>
    <mergeCell ref="A39:D39"/>
    <mergeCell ref="S39:T39"/>
    <mergeCell ref="V39:W39"/>
    <mergeCell ref="V36:W36"/>
    <mergeCell ref="C37:D37"/>
    <mergeCell ref="S37:T37"/>
    <mergeCell ref="V37:W37"/>
    <mergeCell ref="V34:W34"/>
    <mergeCell ref="C35:D35"/>
    <mergeCell ref="S35:T35"/>
    <mergeCell ref="V35:W35"/>
    <mergeCell ref="A34:A38"/>
    <mergeCell ref="B34:B35"/>
    <mergeCell ref="C34:D34"/>
    <mergeCell ref="S34:T34"/>
    <mergeCell ref="B36:B37"/>
    <mergeCell ref="C36:D36"/>
    <mergeCell ref="S36:T36"/>
    <mergeCell ref="S38:T38"/>
    <mergeCell ref="B32:D32"/>
    <mergeCell ref="S32:T32"/>
    <mergeCell ref="V32:W32"/>
    <mergeCell ref="B33:D33"/>
    <mergeCell ref="S33:T33"/>
    <mergeCell ref="V33:W33"/>
    <mergeCell ref="A29:A33"/>
    <mergeCell ref="B29:D29"/>
    <mergeCell ref="S29:T29"/>
    <mergeCell ref="V29:W29"/>
    <mergeCell ref="B30:D30"/>
    <mergeCell ref="S30:T30"/>
    <mergeCell ref="V30:W30"/>
    <mergeCell ref="B31:D31"/>
    <mergeCell ref="S31:T31"/>
    <mergeCell ref="V31:W31"/>
    <mergeCell ref="Z26:Z27"/>
    <mergeCell ref="C27:D27"/>
    <mergeCell ref="B28:D28"/>
    <mergeCell ref="S28:T28"/>
    <mergeCell ref="V28:W28"/>
    <mergeCell ref="U26:U27"/>
    <mergeCell ref="V26:W27"/>
    <mergeCell ref="X26:X27"/>
    <mergeCell ref="Y26:Y27"/>
    <mergeCell ref="B25:D25"/>
    <mergeCell ref="B26:B27"/>
    <mergeCell ref="C26:D26"/>
    <mergeCell ref="S26:T27"/>
    <mergeCell ref="B21:D21"/>
    <mergeCell ref="B22:D22"/>
    <mergeCell ref="B23:D23"/>
    <mergeCell ref="B24:D24"/>
    <mergeCell ref="B18:B20"/>
    <mergeCell ref="C18:D18"/>
    <mergeCell ref="C19:D19"/>
    <mergeCell ref="C20:D20"/>
    <mergeCell ref="B14:B15"/>
    <mergeCell ref="C14:D14"/>
    <mergeCell ref="C15:D15"/>
    <mergeCell ref="B16:B17"/>
    <mergeCell ref="C16:D16"/>
    <mergeCell ref="C17:D17"/>
    <mergeCell ref="B10:D10"/>
    <mergeCell ref="B11:D11"/>
    <mergeCell ref="B12:D12"/>
    <mergeCell ref="B13:D13"/>
    <mergeCell ref="L2:L3"/>
    <mergeCell ref="M2:N2"/>
    <mergeCell ref="O2:Q2"/>
    <mergeCell ref="A4:A28"/>
    <mergeCell ref="B4:D4"/>
    <mergeCell ref="B5:D5"/>
    <mergeCell ref="B6:D6"/>
    <mergeCell ref="B7:D7"/>
    <mergeCell ref="B8:D8"/>
    <mergeCell ref="B9:D9"/>
    <mergeCell ref="A2:D3"/>
    <mergeCell ref="E2:G2"/>
    <mergeCell ref="H2:J2"/>
    <mergeCell ref="K2:K3"/>
  </mergeCells>
  <dataValidations count="14">
    <dataValidation allowBlank="1" showInputMessage="1" showErrorMessage="1" prompt="該当エネルギーを使用した場合、記入" sqref="L81:L104 E29:E32 E34:E37 F69:F71 E4:E27"/>
    <dataValidation allowBlank="1" showInputMessage="1" showErrorMessage="1" prompt="該当エネルギーを他者に販売した場合、記入" sqref="H4:H27 H29:H32 H37 I72"/>
    <dataValidation allowBlank="1" showInputMessage="1" showErrorMessage="1" prompt="自動計算" sqref="G4:G36 G38:G39 J39:L39 L4:L38 J4:K33 O4:Q33 O34:O36 P37:P39 O38:O39 Q39 H69:H71 M69:M74"/>
    <dataValidation allowBlank="1" showInputMessage="1" showErrorMessage="1" prompt="固定値" sqref="M34:M36 M29:M32 M4:M25 N69:N71"/>
    <dataValidation allowBlank="1" showInputMessage="1" showErrorMessage="1" prompt="上記以外の燃料を使用している場合、その種類を記入" sqref="C27:D27 J104:K104"/>
    <dataValidation errorStyle="warning" type="list" allowBlank="1" showInputMessage="1" showErrorMessage="1" prompt="初期設定値：計画書記載時の都市ガス事業者の単位発熱量&#10;※変更があった場合は、ドロップダウンリスト（▼）から都市ガス事業者ごとの単位発熱量を選択&#10;※リストにない場合は手入力" error="ドロップダウンリストに取扱事業者がない場合やリストの値と異なる値を使用する場合は、手入力してください" sqref="M26">
      <formula1>$O$55:$O$57</formula1>
    </dataValidation>
    <dataValidation allowBlank="1" showInputMessage="1" showErrorMessage="1" prompt="燃料ごとの単位発熱量を入力してください" sqref="M27"/>
    <dataValidation allowBlank="1" showInputMessage="1" showErrorMessage="1" prompt="自動計算&#10;※１事業所単位で1,500klを超えた場合に提出対象（１号）となります。なお、1,500kl未満の場合も、任意で提出が可能です。&#10;このほか、２～４号に該当する場合も、提出対象となります。" sqref="G41"/>
    <dataValidation errorStyle="information" allowBlank="1" showInputMessage="1" showErrorMessage="1" prompt="購入している電力会社が公表している電気の排出係数を入力&#10;※最新の係数を入力してください&#10;「環境省　電気事業者　排出係数」で検索" error="ドロップダウンリスト（▼）から、該当する係数を選択&#10;※該当する係数がない場合は、手入力" sqref="E43"/>
    <dataValidation allowBlank="1" showInputMessage="1" showErrorMessage="1" prompt="電気事業者以外から電気を購入している場合の電力の排出係数を記入&#10;（不明の場合は、代替値を入力）" sqref="E44"/>
    <dataValidation errorStyle="information" allowBlank="1" showInputMessage="1" showErrorMessage="1" prompt="計画書に入力した電気の排出係数が転記されます。" error="ドロップダウンリスト（▼）から、該当する係数を選択&#10;※該当する係数がない場合は、手入力" sqref="E54"/>
    <dataValidation allowBlank="1" showInputMessage="1" showErrorMessage="1" prompt="計画書に入力した電気の排出係数が転記されます。" sqref="E55 H54:H55"/>
    <dataValidation allowBlank="1" showInputMessage="1" showErrorMessage="1" prompt="省エネ法の算定過程において算出される排出係数を入力してください&#10;※計算する場合は、表示ページ外（下）参照" sqref="H43:H44"/>
    <dataValidation allowBlank="1" showInputMessage="1" showErrorMessage="1" prompt="ここの値を③欄に転記してください。" sqref="L77"/>
  </dataValidations>
  <printOptions/>
  <pageMargins left="0.3937007874015748" right="0.2362204724409449" top="0.984251968503937" bottom="0.984251968503937" header="0.5118110236220472" footer="0.5118110236220472"/>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00244691</dc:creator>
  <cp:keywords/>
  <dc:description/>
  <cp:lastModifiedBy>Administrator</cp:lastModifiedBy>
  <cp:lastPrinted>2017-03-09T08:16:25Z</cp:lastPrinted>
  <dcterms:created xsi:type="dcterms:W3CDTF">2016-02-09T04:51:32Z</dcterms:created>
  <dcterms:modified xsi:type="dcterms:W3CDTF">2019-09-03T05:39:56Z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