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F-SV-V001\spvolume\教育総務課\記録用\00 課共通\403 制度管理\03 定年延長関係\R8.3定年引上げパンフレット\"/>
    </mc:Choice>
  </mc:AlternateContent>
  <workbookProtection workbookPassword="8C28" lockStructure="1"/>
  <bookViews>
    <workbookView xWindow="0" yWindow="0" windowWidth="15345" windowHeight="6765"/>
  </bookViews>
  <sheets>
    <sheet name="試算" sheetId="1" r:id="rId1"/>
    <sheet name="年収比較" sheetId="4" r:id="rId2"/>
    <sheet name="定年前再任用短時間" sheetId="5" state="hidden" r:id="rId3"/>
    <sheet name="リスト" sheetId="3" state="hidden" r:id="rId4"/>
  </sheets>
  <definedNames>
    <definedName name="_xlnm.Print_Area" localSheetId="0">試算!$A$1:$M$66</definedName>
    <definedName name="_xlnm.Print_Area" localSheetId="1">年収比較!$A$1:$C$39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G24" i="1" s="1"/>
  <c r="K3" i="5" l="1"/>
  <c r="P16" i="5" l="1"/>
  <c r="E26" i="5"/>
  <c r="C33" i="3"/>
  <c r="C32" i="3"/>
  <c r="E21" i="5" l="1"/>
  <c r="C21" i="5"/>
  <c r="C20" i="5"/>
  <c r="C36" i="3"/>
  <c r="C30" i="3"/>
  <c r="C35" i="3"/>
  <c r="C34" i="3"/>
  <c r="C31" i="3"/>
  <c r="C29" i="3"/>
  <c r="C28" i="3"/>
  <c r="C27" i="3"/>
  <c r="C26" i="3"/>
  <c r="C26" i="5" l="1"/>
  <c r="C25" i="5"/>
  <c r="E17" i="5"/>
  <c r="E24" i="5"/>
  <c r="E19" i="5"/>
  <c r="E66" i="1" l="1"/>
  <c r="H10" i="3" l="1"/>
  <c r="H9" i="3"/>
  <c r="H8" i="3"/>
  <c r="H7" i="3"/>
  <c r="E43" i="1" l="1"/>
  <c r="E49" i="1"/>
  <c r="M35" i="1" l="1"/>
  <c r="C20" i="3" l="1"/>
  <c r="C21" i="3"/>
  <c r="C22" i="3"/>
  <c r="C23" i="3"/>
  <c r="C24" i="3"/>
  <c r="C25" i="3"/>
  <c r="C19" i="3"/>
  <c r="C16" i="3"/>
  <c r="C17" i="3"/>
  <c r="C18" i="3"/>
  <c r="C14" i="3"/>
  <c r="C15" i="3"/>
  <c r="C13" i="3"/>
  <c r="C11" i="3"/>
  <c r="C12" i="3"/>
  <c r="C10" i="3"/>
  <c r="C9" i="3"/>
  <c r="C6" i="3"/>
  <c r="C7" i="3"/>
  <c r="C8" i="3"/>
  <c r="C5" i="3"/>
  <c r="C3" i="3"/>
  <c r="C4" i="3"/>
  <c r="C2" i="3"/>
  <c r="C14" i="4" l="1"/>
  <c r="H19" i="5"/>
  <c r="C19" i="5"/>
  <c r="C18" i="5"/>
  <c r="K31" i="5"/>
  <c r="L3" i="5" s="1"/>
  <c r="L14" i="5" s="1"/>
  <c r="J31" i="5"/>
  <c r="K14" i="5" s="1"/>
  <c r="L30" i="5"/>
  <c r="L29" i="5"/>
  <c r="H24" i="5"/>
  <c r="C24" i="5"/>
  <c r="H23" i="5"/>
  <c r="C23" i="5"/>
  <c r="C22" i="5"/>
  <c r="H18" i="5"/>
  <c r="H17" i="5"/>
  <c r="C17" i="5"/>
  <c r="H16" i="5"/>
  <c r="C17" i="4" s="1"/>
  <c r="C16" i="5"/>
  <c r="M14" i="5"/>
  <c r="D12" i="5"/>
  <c r="D11" i="5"/>
  <c r="F11" i="5" s="1"/>
  <c r="D10" i="5"/>
  <c r="F10" i="5" s="1"/>
  <c r="D9" i="5"/>
  <c r="G9" i="5" s="1"/>
  <c r="D8" i="5"/>
  <c r="D7" i="5"/>
  <c r="D19" i="5" s="1"/>
  <c r="D6" i="5"/>
  <c r="D5" i="5"/>
  <c r="L31" i="5" l="1"/>
  <c r="G8" i="5"/>
  <c r="J8" i="5" s="1"/>
  <c r="K8" i="5" s="1"/>
  <c r="D21" i="5"/>
  <c r="D18" i="5"/>
  <c r="F19" i="5" s="1"/>
  <c r="F5" i="5"/>
  <c r="G5" i="5" s="1"/>
  <c r="J5" i="5" s="1"/>
  <c r="G12" i="5"/>
  <c r="J12" i="5" s="1"/>
  <c r="K12" i="5" s="1"/>
  <c r="D26" i="5"/>
  <c r="D25" i="5"/>
  <c r="F7" i="5"/>
  <c r="G7" i="5" s="1"/>
  <c r="D20" i="5"/>
  <c r="I9" i="5"/>
  <c r="G10" i="5"/>
  <c r="K10" i="5" s="1"/>
  <c r="G11" i="5"/>
  <c r="I11" i="5" s="1"/>
  <c r="D24" i="5"/>
  <c r="J9" i="5"/>
  <c r="K9" i="5" s="1"/>
  <c r="D16" i="5"/>
  <c r="C13" i="4" s="1"/>
  <c r="F6" i="5"/>
  <c r="D17" i="5"/>
  <c r="D22" i="5"/>
  <c r="D23" i="5"/>
  <c r="F18" i="5" l="1"/>
  <c r="G18" i="5" s="1"/>
  <c r="I8" i="5"/>
  <c r="L11" i="5"/>
  <c r="I7" i="5"/>
  <c r="I5" i="5"/>
  <c r="J7" i="5"/>
  <c r="K7" i="5" s="1"/>
  <c r="G21" i="5"/>
  <c r="I21" i="5" s="1"/>
  <c r="I12" i="5"/>
  <c r="L5" i="5"/>
  <c r="L8" i="5"/>
  <c r="M8" i="5" s="1"/>
  <c r="N8" i="5" s="1"/>
  <c r="K11" i="5"/>
  <c r="G20" i="5"/>
  <c r="J20" i="5" s="1"/>
  <c r="G26" i="5"/>
  <c r="I26" i="5" s="1"/>
  <c r="K5" i="5"/>
  <c r="F23" i="5"/>
  <c r="G25" i="5"/>
  <c r="F24" i="5"/>
  <c r="F17" i="5"/>
  <c r="G6" i="5"/>
  <c r="I6" i="5" s="1"/>
  <c r="F16" i="5"/>
  <c r="L12" i="5"/>
  <c r="M12" i="5" s="1"/>
  <c r="G22" i="5"/>
  <c r="I10" i="5"/>
  <c r="L10" i="5"/>
  <c r="M10" i="5" s="1"/>
  <c r="L9" i="5"/>
  <c r="M9" i="5" s="1"/>
  <c r="N9" i="5" s="1"/>
  <c r="N12" i="5" l="1"/>
  <c r="G16" i="5"/>
  <c r="C16" i="4" s="1"/>
  <c r="C15" i="4"/>
  <c r="M11" i="5"/>
  <c r="N11" i="5" s="1"/>
  <c r="I20" i="5"/>
  <c r="J18" i="5"/>
  <c r="K18" i="5" s="1"/>
  <c r="L7" i="5"/>
  <c r="M7" i="5" s="1"/>
  <c r="N7" i="5" s="1"/>
  <c r="G19" i="5"/>
  <c r="I19" i="5" s="1"/>
  <c r="I18" i="5"/>
  <c r="J19" i="5"/>
  <c r="J21" i="5"/>
  <c r="L21" i="5" s="1"/>
  <c r="J6" i="5"/>
  <c r="K6" i="5" s="1"/>
  <c r="K20" i="5"/>
  <c r="J26" i="5"/>
  <c r="L26" i="5" s="1"/>
  <c r="L20" i="5"/>
  <c r="M5" i="5"/>
  <c r="N5" i="5" s="1"/>
  <c r="I25" i="5"/>
  <c r="G17" i="5"/>
  <c r="G24" i="5"/>
  <c r="J25" i="5"/>
  <c r="L25" i="5" s="1"/>
  <c r="N10" i="5"/>
  <c r="J16" i="5"/>
  <c r="K16" i="5" s="1"/>
  <c r="I22" i="5"/>
  <c r="J22" i="5"/>
  <c r="K22" i="5" s="1"/>
  <c r="G23" i="5"/>
  <c r="L23" i="5" s="1"/>
  <c r="C19" i="4" l="1"/>
  <c r="I16" i="5"/>
  <c r="C18" i="4"/>
  <c r="K26" i="5"/>
  <c r="M26" i="5" s="1"/>
  <c r="N26" i="5" s="1"/>
  <c r="L18" i="5"/>
  <c r="M18" i="5" s="1"/>
  <c r="N18" i="5" s="1"/>
  <c r="L6" i="5"/>
  <c r="M6" i="5" s="1"/>
  <c r="N6" i="5" s="1"/>
  <c r="M20" i="5"/>
  <c r="N20" i="5" s="1"/>
  <c r="L19" i="5"/>
  <c r="K19" i="5"/>
  <c r="L22" i="5"/>
  <c r="M22" i="5" s="1"/>
  <c r="N22" i="5" s="1"/>
  <c r="K21" i="5"/>
  <c r="M21" i="5" s="1"/>
  <c r="N21" i="5" s="1"/>
  <c r="K23" i="5"/>
  <c r="L16" i="5"/>
  <c r="K25" i="5"/>
  <c r="M25" i="5" s="1"/>
  <c r="N25" i="5" s="1"/>
  <c r="K24" i="5"/>
  <c r="L24" i="5"/>
  <c r="I24" i="5"/>
  <c r="J17" i="5"/>
  <c r="L17" i="5" s="1"/>
  <c r="I17" i="5"/>
  <c r="I23" i="5"/>
  <c r="M16" i="5" l="1"/>
  <c r="N16" i="5" s="1"/>
  <c r="C20" i="4"/>
  <c r="C21" i="4" s="1"/>
  <c r="C22" i="4" s="1"/>
  <c r="M19" i="5"/>
  <c r="N19" i="5" s="1"/>
  <c r="M24" i="5"/>
  <c r="N24" i="5" s="1"/>
  <c r="K17" i="5"/>
  <c r="M17" i="5" s="1"/>
  <c r="N17" i="5" s="1"/>
  <c r="M23" i="5"/>
  <c r="N23" i="5" s="1"/>
  <c r="B14" i="4" l="1"/>
  <c r="B17" i="4" l="1"/>
  <c r="K29" i="1" l="1"/>
  <c r="G62" i="1"/>
  <c r="G66" i="1" s="1"/>
  <c r="C62" i="1"/>
  <c r="K35" i="1"/>
  <c r="E41" i="1" l="1"/>
  <c r="J66" i="1"/>
  <c r="E45" i="1" l="1"/>
  <c r="E47" i="1" s="1"/>
  <c r="B13" i="4"/>
  <c r="E51" i="1" l="1"/>
  <c r="B15" i="4"/>
  <c r="B16" i="4"/>
  <c r="B36" i="4" l="1"/>
  <c r="B20" i="4"/>
  <c r="B19" i="4"/>
  <c r="B18" i="4"/>
  <c r="B21" i="4" l="1"/>
  <c r="B22" i="4" s="1"/>
</calcChain>
</file>

<file path=xl/sharedStrings.xml><?xml version="1.0" encoding="utf-8"?>
<sst xmlns="http://schemas.openxmlformats.org/spreadsheetml/2006/main" count="182" uniqueCount="154">
  <si>
    <t>円</t>
    <rPh sb="0" eb="1">
      <t>エン</t>
    </rPh>
    <phoneticPr fontId="2"/>
  </si>
  <si>
    <t>・60歳超の給料月額</t>
    <rPh sb="3" eb="4">
      <t>サイ</t>
    </rPh>
    <rPh sb="4" eb="5">
      <t>チョウ</t>
    </rPh>
    <rPh sb="6" eb="8">
      <t>キュウリョウ</t>
    </rPh>
    <rPh sb="8" eb="10">
      <t>ゲツガク</t>
    </rPh>
    <phoneticPr fontId="2"/>
  </si>
  <si>
    <t>円×</t>
    <rPh sb="0" eb="1">
      <t>エン</t>
    </rPh>
    <phoneticPr fontId="2"/>
  </si>
  <si>
    <t>＝</t>
    <phoneticPr fontId="2"/>
  </si>
  <si>
    <t>７割措置後の給料月額をご確認ください。</t>
    <rPh sb="1" eb="2">
      <t>ワリ</t>
    </rPh>
    <rPh sb="2" eb="4">
      <t>ソチ</t>
    </rPh>
    <rPh sb="4" eb="5">
      <t>ゴ</t>
    </rPh>
    <rPh sb="6" eb="8">
      <t>キュウリョウ</t>
    </rPh>
    <rPh sb="8" eb="10">
      <t>ゲツガク</t>
    </rPh>
    <rPh sb="12" eb="14">
      <t>カクニン</t>
    </rPh>
    <phoneticPr fontId="2"/>
  </si>
  <si>
    <t>ご自身の給与の月額をご確認ください。</t>
    <rPh sb="1" eb="3">
      <t>ジシン</t>
    </rPh>
    <rPh sb="4" eb="6">
      <t>キュウヨ</t>
    </rPh>
    <rPh sb="7" eb="9">
      <t>ゲツガク</t>
    </rPh>
    <rPh sb="11" eb="13">
      <t>カクニン</t>
    </rPh>
    <phoneticPr fontId="2"/>
  </si>
  <si>
    <t>・給料月額</t>
    <rPh sb="1" eb="3">
      <t>キュウリョウ</t>
    </rPh>
    <rPh sb="3" eb="5">
      <t>ゲツガク</t>
    </rPh>
    <phoneticPr fontId="2"/>
  </si>
  <si>
    <t>・給料の調整額</t>
    <rPh sb="1" eb="3">
      <t>キュウリョウ</t>
    </rPh>
    <rPh sb="4" eb="7">
      <t>チョウセイガク</t>
    </rPh>
    <phoneticPr fontId="2"/>
  </si>
  <si>
    <t>・教職調整額</t>
    <rPh sb="1" eb="3">
      <t>キョウショク</t>
    </rPh>
    <rPh sb="3" eb="6">
      <t>チョウセイガク</t>
    </rPh>
    <phoneticPr fontId="2"/>
  </si>
  <si>
    <t>・地域手当</t>
    <rPh sb="1" eb="3">
      <t>チイキ</t>
    </rPh>
    <rPh sb="3" eb="5">
      <t>テアテ</t>
    </rPh>
    <phoneticPr fontId="2"/>
  </si>
  <si>
    <t>・義務教育等教員特別手当</t>
    <rPh sb="1" eb="3">
      <t>ギム</t>
    </rPh>
    <rPh sb="3" eb="5">
      <t>キョウイク</t>
    </rPh>
    <rPh sb="5" eb="6">
      <t>トウ</t>
    </rPh>
    <rPh sb="6" eb="8">
      <t>キョウイン</t>
    </rPh>
    <rPh sb="8" eb="10">
      <t>トクベツ</t>
    </rPh>
    <rPh sb="10" eb="12">
      <t>テアテ</t>
    </rPh>
    <phoneticPr fontId="2"/>
  </si>
  <si>
    <t>　　◆お手元にご自身の「給与支給明細書」をご用意ください。</t>
    <rPh sb="4" eb="6">
      <t>テモト</t>
    </rPh>
    <rPh sb="8" eb="10">
      <t>ジシン</t>
    </rPh>
    <rPh sb="12" eb="14">
      <t>キュウヨ</t>
    </rPh>
    <rPh sb="14" eb="16">
      <t>シキュウ</t>
    </rPh>
    <rPh sb="16" eb="19">
      <t>メイサイショ</t>
    </rPh>
    <rPh sb="22" eb="24">
      <t>ヨウイ</t>
    </rPh>
    <phoneticPr fontId="2"/>
  </si>
  <si>
    <t>　　◆以下の</t>
    <rPh sb="3" eb="5">
      <t>イカ</t>
    </rPh>
    <phoneticPr fontId="2"/>
  </si>
  <si>
    <t>◆当分の間、職員の給料月額は、職員が60歳に達した日後の最初の４月１日以後、７割水準となります。</t>
    <rPh sb="1" eb="3">
      <t>トウブン</t>
    </rPh>
    <rPh sb="4" eb="5">
      <t>アイダ</t>
    </rPh>
    <rPh sb="6" eb="8">
      <t>ショクイン</t>
    </rPh>
    <rPh sb="9" eb="11">
      <t>キュウリョウ</t>
    </rPh>
    <rPh sb="11" eb="13">
      <t>ゲツガク</t>
    </rPh>
    <rPh sb="15" eb="17">
      <t>ショクイン</t>
    </rPh>
    <rPh sb="20" eb="21">
      <t>サイ</t>
    </rPh>
    <rPh sb="22" eb="23">
      <t>タッ</t>
    </rPh>
    <rPh sb="25" eb="26">
      <t>ヒ</t>
    </rPh>
    <rPh sb="26" eb="27">
      <t>ゴ</t>
    </rPh>
    <rPh sb="28" eb="30">
      <t>サイショ</t>
    </rPh>
    <rPh sb="32" eb="33">
      <t>ガツ</t>
    </rPh>
    <rPh sb="34" eb="35">
      <t>ニチ</t>
    </rPh>
    <rPh sb="35" eb="37">
      <t>イゴ</t>
    </rPh>
    <rPh sb="39" eb="40">
      <t>ワリ</t>
    </rPh>
    <rPh sb="40" eb="42">
      <t>スイジュン</t>
    </rPh>
    <phoneticPr fontId="2"/>
  </si>
  <si>
    <t>60歳に達する日後の最初の３月31日現在のご自身の給料月額等をご確認ください。</t>
    <rPh sb="22" eb="24">
      <t>ジシン</t>
    </rPh>
    <rPh sb="25" eb="27">
      <t>キュウリョウ</t>
    </rPh>
    <rPh sb="27" eb="29">
      <t>ゲツガク</t>
    </rPh>
    <rPh sb="29" eb="30">
      <t>トウ</t>
    </rPh>
    <rPh sb="32" eb="34">
      <t>カクニン</t>
    </rPh>
    <phoneticPr fontId="2"/>
  </si>
  <si>
    <t>職種</t>
    <rPh sb="0" eb="2">
      <t>ショクシュ</t>
    </rPh>
    <phoneticPr fontId="2"/>
  </si>
  <si>
    <t>校長</t>
    <rPh sb="0" eb="2">
      <t>コウチョウ</t>
    </rPh>
    <phoneticPr fontId="2"/>
  </si>
  <si>
    <t>副校長</t>
    <rPh sb="0" eb="3">
      <t>フクコウチョウ</t>
    </rPh>
    <phoneticPr fontId="2"/>
  </si>
  <si>
    <t>教頭</t>
    <rPh sb="0" eb="2">
      <t>キョウトウ</t>
    </rPh>
    <phoneticPr fontId="2"/>
  </si>
  <si>
    <t>主幹教諭</t>
    <rPh sb="0" eb="2">
      <t>シュカン</t>
    </rPh>
    <rPh sb="2" eb="4">
      <t>キョウユ</t>
    </rPh>
    <phoneticPr fontId="2"/>
  </si>
  <si>
    <t>教諭</t>
    <rPh sb="0" eb="2">
      <t>キョウユ</t>
    </rPh>
    <phoneticPr fontId="2"/>
  </si>
  <si>
    <t>養護教諭</t>
    <rPh sb="0" eb="2">
      <t>ヨウゴ</t>
    </rPh>
    <rPh sb="2" eb="4">
      <t>キョウユ</t>
    </rPh>
    <phoneticPr fontId="2"/>
  </si>
  <si>
    <t>栄養教諭</t>
    <rPh sb="0" eb="2">
      <t>エイヨウ</t>
    </rPh>
    <rPh sb="2" eb="4">
      <t>キョウユ</t>
    </rPh>
    <phoneticPr fontId="2"/>
  </si>
  <si>
    <t>講師</t>
    <rPh sb="0" eb="2">
      <t>コウシ</t>
    </rPh>
    <phoneticPr fontId="2"/>
  </si>
  <si>
    <t>実習助手</t>
    <rPh sb="0" eb="2">
      <t>ジッシュウ</t>
    </rPh>
    <rPh sb="2" eb="4">
      <t>ジョシュ</t>
    </rPh>
    <phoneticPr fontId="2"/>
  </si>
  <si>
    <t>寄宿舎指導員</t>
    <rPh sb="0" eb="3">
      <t>キシュクシャ</t>
    </rPh>
    <rPh sb="3" eb="6">
      <t>シドウイン</t>
    </rPh>
    <phoneticPr fontId="2"/>
  </si>
  <si>
    <t>行政職</t>
    <rPh sb="0" eb="3">
      <t>ギョウセイショク</t>
    </rPh>
    <phoneticPr fontId="2"/>
  </si>
  <si>
    <t>栄養士</t>
    <rPh sb="0" eb="3">
      <t>エイヨウシ</t>
    </rPh>
    <phoneticPr fontId="2"/>
  </si>
  <si>
    <t>はい、いいえ</t>
    <phoneticPr fontId="2"/>
  </si>
  <si>
    <t>円</t>
    <rPh sb="0" eb="1">
      <t>エン</t>
    </rPh>
    <phoneticPr fontId="2"/>
  </si>
  <si>
    <t>・特定日給料月額</t>
    <rPh sb="1" eb="4">
      <t>トクテイビ</t>
    </rPh>
    <rPh sb="4" eb="6">
      <t>キュウリョウ</t>
    </rPh>
    <rPh sb="6" eb="8">
      <t>ゲツガク</t>
    </rPh>
    <phoneticPr fontId="2"/>
  </si>
  <si>
    <t>・給料月額と特定日給料月額との差額を算出してください。</t>
    <rPh sb="1" eb="3">
      <t>キュウリョウ</t>
    </rPh>
    <rPh sb="3" eb="5">
      <t>ゲツガク</t>
    </rPh>
    <rPh sb="6" eb="9">
      <t>トクテイビ</t>
    </rPh>
    <rPh sb="9" eb="11">
      <t>キュウリョウ</t>
    </rPh>
    <rPh sb="11" eb="13">
      <t>ゲツガク</t>
    </rPh>
    <rPh sb="15" eb="17">
      <t>サガク</t>
    </rPh>
    <rPh sb="18" eb="20">
      <t>サンシュツ</t>
    </rPh>
    <phoneticPr fontId="2"/>
  </si>
  <si>
    <t>円･･･a’</t>
    <rPh sb="0" eb="1">
      <t>エン</t>
    </rPh>
    <phoneticPr fontId="2"/>
  </si>
  <si>
    <t>円･･･ｂ’</t>
    <rPh sb="0" eb="1">
      <t>エン</t>
    </rPh>
    <phoneticPr fontId="2"/>
  </si>
  <si>
    <t>勤務形態</t>
    <rPh sb="0" eb="2">
      <t>キンム</t>
    </rPh>
    <rPh sb="2" eb="4">
      <t>ケイタイ</t>
    </rPh>
    <phoneticPr fontId="2"/>
  </si>
  <si>
    <t>職名</t>
    <rPh sb="0" eb="2">
      <t>ショクメイ</t>
    </rPh>
    <phoneticPr fontId="2"/>
  </si>
  <si>
    <t>職務の級</t>
    <rPh sb="0" eb="2">
      <t>ショクム</t>
    </rPh>
    <rPh sb="3" eb="4">
      <t>キュウ</t>
    </rPh>
    <phoneticPr fontId="2"/>
  </si>
  <si>
    <t>号給</t>
    <rPh sb="0" eb="2">
      <t>ゴウキュウ</t>
    </rPh>
    <phoneticPr fontId="2"/>
  </si>
  <si>
    <t>給料月額</t>
    <rPh sb="0" eb="2">
      <t>キュウリョウ</t>
    </rPh>
    <rPh sb="2" eb="4">
      <t>ゲツガク</t>
    </rPh>
    <phoneticPr fontId="2"/>
  </si>
  <si>
    <t>地域手当</t>
    <rPh sb="0" eb="2">
      <t>チイキ</t>
    </rPh>
    <rPh sb="2" eb="4">
      <t>テアテ</t>
    </rPh>
    <phoneticPr fontId="2"/>
  </si>
  <si>
    <t>義務特手当</t>
    <rPh sb="0" eb="2">
      <t>ギム</t>
    </rPh>
    <rPh sb="2" eb="3">
      <t>トク</t>
    </rPh>
    <rPh sb="3" eb="5">
      <t>テアテ</t>
    </rPh>
    <phoneticPr fontId="2"/>
  </si>
  <si>
    <t>月収小計</t>
    <rPh sb="0" eb="2">
      <t>ゲッシュウ</t>
    </rPh>
    <rPh sb="2" eb="4">
      <t>ショウケイ</t>
    </rPh>
    <phoneticPr fontId="2"/>
  </si>
  <si>
    <t>期末手当</t>
    <rPh sb="0" eb="2">
      <t>キマツ</t>
    </rPh>
    <rPh sb="2" eb="4">
      <t>テアテ</t>
    </rPh>
    <phoneticPr fontId="2"/>
  </si>
  <si>
    <t>勤勉手当</t>
    <rPh sb="0" eb="2">
      <t>キンベン</t>
    </rPh>
    <rPh sb="2" eb="4">
      <t>テアテ</t>
    </rPh>
    <phoneticPr fontId="2"/>
  </si>
  <si>
    <t>期末勤勉小計</t>
    <rPh sb="0" eb="2">
      <t>キマツ</t>
    </rPh>
    <rPh sb="2" eb="4">
      <t>キンベン</t>
    </rPh>
    <rPh sb="4" eb="6">
      <t>ショウケイ</t>
    </rPh>
    <phoneticPr fontId="2"/>
  </si>
  <si>
    <t>年収計
(月収×12＋期末勤勉手当)</t>
    <rPh sb="0" eb="2">
      <t>ネンシュウ</t>
    </rPh>
    <rPh sb="2" eb="3">
      <t>ケイ</t>
    </rPh>
    <rPh sb="5" eb="7">
      <t>ゲッシュウ</t>
    </rPh>
    <rPh sb="11" eb="13">
      <t>キマツ</t>
    </rPh>
    <rPh sb="13" eb="15">
      <t>キンベン</t>
    </rPh>
    <rPh sb="15" eb="17">
      <t>テアテ</t>
    </rPh>
    <phoneticPr fontId="2"/>
  </si>
  <si>
    <t>７割措置</t>
    <rPh sb="1" eb="2">
      <t>ワリ</t>
    </rPh>
    <rPh sb="2" eb="4">
      <t>ソチ</t>
    </rPh>
    <phoneticPr fontId="2"/>
  </si>
  <si>
    <t>定年前再任用短時間</t>
    <rPh sb="0" eb="3">
      <t>テイネンマエ</t>
    </rPh>
    <rPh sb="3" eb="6">
      <t>サイニンヨウ</t>
    </rPh>
    <rPh sb="6" eb="7">
      <t>タン</t>
    </rPh>
    <rPh sb="7" eb="9">
      <t>ジカン</t>
    </rPh>
    <phoneticPr fontId="2"/>
  </si>
  <si>
    <t>給料の調整額</t>
    <rPh sb="0" eb="2">
      <t>キュウリョウ</t>
    </rPh>
    <rPh sb="3" eb="6">
      <t>チョウセイガク</t>
    </rPh>
    <phoneticPr fontId="2"/>
  </si>
  <si>
    <t>教職調整額</t>
    <rPh sb="0" eb="2">
      <t>キョウショク</t>
    </rPh>
    <rPh sb="2" eb="5">
      <t>チョウセイガク</t>
    </rPh>
    <phoneticPr fontId="2"/>
  </si>
  <si>
    <t>期末率</t>
    <rPh sb="0" eb="2">
      <t>キマツ</t>
    </rPh>
    <rPh sb="2" eb="3">
      <t>リツ</t>
    </rPh>
    <phoneticPr fontId="2"/>
  </si>
  <si>
    <t>勤勉率</t>
    <rPh sb="0" eb="2">
      <t>キンベン</t>
    </rPh>
    <rPh sb="2" eb="3">
      <t>リツ</t>
    </rPh>
    <phoneticPr fontId="2"/>
  </si>
  <si>
    <t>高齢者部分休業取得時の減額について</t>
    <rPh sb="0" eb="3">
      <t>コウレイシャ</t>
    </rPh>
    <rPh sb="3" eb="5">
      <t>ブブン</t>
    </rPh>
    <rPh sb="5" eb="7">
      <t>キュウギョウ</t>
    </rPh>
    <rPh sb="7" eb="9">
      <t>シュトク</t>
    </rPh>
    <rPh sb="9" eb="10">
      <t>ジ</t>
    </rPh>
    <rPh sb="11" eb="13">
      <t>ゲンガク</t>
    </rPh>
    <phoneticPr fontId="2"/>
  </si>
  <si>
    <t>職務加算</t>
    <rPh sb="0" eb="2">
      <t>ショクム</t>
    </rPh>
    <rPh sb="2" eb="4">
      <t>カサン</t>
    </rPh>
    <phoneticPr fontId="2"/>
  </si>
  <si>
    <t>こちらは、60歳に達した日後の勤務形態別の年収見込額を比較するシートです。</t>
    <rPh sb="7" eb="8">
      <t>サイ</t>
    </rPh>
    <rPh sb="9" eb="10">
      <t>タッ</t>
    </rPh>
    <rPh sb="12" eb="13">
      <t>ヒ</t>
    </rPh>
    <rPh sb="13" eb="14">
      <t>ゴ</t>
    </rPh>
    <rPh sb="15" eb="17">
      <t>キンム</t>
    </rPh>
    <rPh sb="17" eb="20">
      <t>ケイタイベツ</t>
    </rPh>
    <rPh sb="21" eb="23">
      <t>ネンシュウ</t>
    </rPh>
    <rPh sb="23" eb="26">
      <t>ミコミガク</t>
    </rPh>
    <rPh sb="27" eb="29">
      <t>ヒカク</t>
    </rPh>
    <phoneticPr fontId="2"/>
  </si>
  <si>
    <t>＜暫定再任用職員＞</t>
    <rPh sb="1" eb="3">
      <t>ザンテイ</t>
    </rPh>
    <rPh sb="3" eb="6">
      <t>サイニンヨウ</t>
    </rPh>
    <rPh sb="6" eb="8">
      <t>ショクイン</t>
    </rPh>
    <phoneticPr fontId="5"/>
  </si>
  <si>
    <t>38:45</t>
    <phoneticPr fontId="5"/>
  </si>
  <si>
    <t>給料月額</t>
    <rPh sb="0" eb="2">
      <t>キュウリョウ</t>
    </rPh>
    <rPh sb="2" eb="4">
      <t>ゲツガク</t>
    </rPh>
    <phoneticPr fontId="5"/>
  </si>
  <si>
    <t>特例給料月額</t>
    <rPh sb="0" eb="2">
      <t>トクレイ</t>
    </rPh>
    <rPh sb="2" eb="4">
      <t>キュウリョウ</t>
    </rPh>
    <rPh sb="4" eb="6">
      <t>ゲツガク</t>
    </rPh>
    <phoneticPr fontId="5"/>
  </si>
  <si>
    <t>給料の調整額</t>
    <rPh sb="0" eb="2">
      <t>キュウリョウ</t>
    </rPh>
    <rPh sb="3" eb="5">
      <t>チョウセイ</t>
    </rPh>
    <rPh sb="5" eb="6">
      <t>ガク</t>
    </rPh>
    <phoneticPr fontId="5"/>
  </si>
  <si>
    <t>教職調整額</t>
    <rPh sb="0" eb="2">
      <t>キョウショク</t>
    </rPh>
    <rPh sb="2" eb="4">
      <t>チョウセイ</t>
    </rPh>
    <rPh sb="4" eb="5">
      <t>ガク</t>
    </rPh>
    <phoneticPr fontId="5"/>
  </si>
  <si>
    <t>地域手当</t>
    <rPh sb="0" eb="2">
      <t>チイキ</t>
    </rPh>
    <rPh sb="2" eb="4">
      <t>テアテ</t>
    </rPh>
    <phoneticPr fontId="5"/>
  </si>
  <si>
    <t>義務特</t>
    <rPh sb="0" eb="2">
      <t>ギム</t>
    </rPh>
    <rPh sb="2" eb="3">
      <t>トク</t>
    </rPh>
    <phoneticPr fontId="5"/>
  </si>
  <si>
    <t>例月小計</t>
    <rPh sb="0" eb="2">
      <t>レイゲツ</t>
    </rPh>
    <rPh sb="2" eb="4">
      <t>ショウケイ</t>
    </rPh>
    <phoneticPr fontId="5"/>
  </si>
  <si>
    <t>職務加算</t>
    <rPh sb="0" eb="2">
      <t>ショクム</t>
    </rPh>
    <rPh sb="2" eb="4">
      <t>カサン</t>
    </rPh>
    <phoneticPr fontId="5"/>
  </si>
  <si>
    <t>期末手当</t>
    <rPh sb="0" eb="2">
      <t>キマツ</t>
    </rPh>
    <rPh sb="2" eb="4">
      <t>テアテ</t>
    </rPh>
    <phoneticPr fontId="5"/>
  </si>
  <si>
    <t>勤勉手当</t>
    <rPh sb="0" eb="2">
      <t>キンベン</t>
    </rPh>
    <rPh sb="2" eb="4">
      <t>テアテ</t>
    </rPh>
    <phoneticPr fontId="5"/>
  </si>
  <si>
    <t>期末勤勉小計</t>
    <rPh sb="0" eb="2">
      <t>キマツ</t>
    </rPh>
    <rPh sb="2" eb="4">
      <t>キンベン</t>
    </rPh>
    <rPh sb="4" eb="6">
      <t>ショウケイ</t>
    </rPh>
    <phoneticPr fontId="5"/>
  </si>
  <si>
    <t>年間給与</t>
    <rPh sb="0" eb="2">
      <t>ネンカン</t>
    </rPh>
    <rPh sb="2" eb="4">
      <t>キュウヨ</t>
    </rPh>
    <phoneticPr fontId="5"/>
  </si>
  <si>
    <t>高校教育職</t>
    <rPh sb="0" eb="2">
      <t>コウコウ</t>
    </rPh>
    <rPh sb="2" eb="4">
      <t>キョウイク</t>
    </rPh>
    <rPh sb="4" eb="5">
      <t>ショク</t>
    </rPh>
    <phoneticPr fontId="5"/>
  </si>
  <si>
    <t>特支教育職</t>
    <rPh sb="0" eb="1">
      <t>トク</t>
    </rPh>
    <rPh sb="1" eb="2">
      <t>シ</t>
    </rPh>
    <rPh sb="2" eb="4">
      <t>キョウイク</t>
    </rPh>
    <rPh sb="4" eb="5">
      <t>ショク</t>
    </rPh>
    <phoneticPr fontId="5"/>
  </si>
  <si>
    <t>小中教育職</t>
    <rPh sb="0" eb="2">
      <t>コナカ</t>
    </rPh>
    <rPh sb="2" eb="4">
      <t>キョウイク</t>
    </rPh>
    <rPh sb="4" eb="5">
      <t>ショク</t>
    </rPh>
    <phoneticPr fontId="5"/>
  </si>
  <si>
    <t>行政職</t>
    <rPh sb="0" eb="3">
      <t>ギョウセイショク</t>
    </rPh>
    <phoneticPr fontId="5"/>
  </si>
  <si>
    <t>栄養職</t>
    <rPh sb="0" eb="2">
      <t>エイヨウ</t>
    </rPh>
    <rPh sb="2" eb="3">
      <t>ショク</t>
    </rPh>
    <phoneticPr fontId="5"/>
  </si>
  <si>
    <t>高校実習助手</t>
    <rPh sb="0" eb="2">
      <t>コウコウ</t>
    </rPh>
    <rPh sb="2" eb="4">
      <t>ジッシュウ</t>
    </rPh>
    <rPh sb="4" eb="6">
      <t>ジョシュ</t>
    </rPh>
    <phoneticPr fontId="5"/>
  </si>
  <si>
    <t>特支実助・寄宿舎</t>
    <rPh sb="0" eb="1">
      <t>トク</t>
    </rPh>
    <rPh sb="1" eb="2">
      <t>シ</t>
    </rPh>
    <rPh sb="2" eb="3">
      <t>ジツ</t>
    </rPh>
    <rPh sb="3" eb="4">
      <t>ジョ</t>
    </rPh>
    <rPh sb="5" eb="7">
      <t>キシュク</t>
    </rPh>
    <rPh sb="7" eb="8">
      <t>シャ</t>
    </rPh>
    <phoneticPr fontId="5"/>
  </si>
  <si>
    <t>行政職（２）</t>
    <rPh sb="0" eb="3">
      <t>ギョウセイショク</t>
    </rPh>
    <phoneticPr fontId="5"/>
  </si>
  <si>
    <t>＜定年前再任短＞</t>
    <rPh sb="1" eb="4">
      <t>テイネンマエ</t>
    </rPh>
    <rPh sb="4" eb="5">
      <t>サイ</t>
    </rPh>
    <rPh sb="5" eb="6">
      <t>ニン</t>
    </rPh>
    <rPh sb="6" eb="7">
      <t>タン</t>
    </rPh>
    <phoneticPr fontId="5"/>
  </si>
  <si>
    <t>19:25</t>
    <phoneticPr fontId="5"/>
  </si>
  <si>
    <t>期末手当（率）</t>
    <rPh sb="0" eb="2">
      <t>キマツ</t>
    </rPh>
    <rPh sb="2" eb="4">
      <t>テアテ</t>
    </rPh>
    <rPh sb="5" eb="6">
      <t>リツ</t>
    </rPh>
    <phoneticPr fontId="5"/>
  </si>
  <si>
    <t>勤勉手当（率）</t>
    <rPh sb="0" eb="2">
      <t>キンベン</t>
    </rPh>
    <rPh sb="2" eb="4">
      <t>テアテ</t>
    </rPh>
    <rPh sb="5" eb="6">
      <t>リツ</t>
    </rPh>
    <phoneticPr fontId="5"/>
  </si>
  <si>
    <t>計</t>
    <rPh sb="0" eb="1">
      <t>ケイ</t>
    </rPh>
    <phoneticPr fontId="5"/>
  </si>
  <si>
    <t>６月</t>
    <rPh sb="1" eb="2">
      <t>ツキ</t>
    </rPh>
    <phoneticPr fontId="5"/>
  </si>
  <si>
    <t>12月</t>
    <rPh sb="2" eb="3">
      <t>ツキ</t>
    </rPh>
    <phoneticPr fontId="5"/>
  </si>
  <si>
    <t>※期末・勤勉は総支給率で算定しているため実支給額とは誤差を生じる</t>
    <rPh sb="1" eb="3">
      <t>キマツ</t>
    </rPh>
    <rPh sb="4" eb="6">
      <t>キンベン</t>
    </rPh>
    <rPh sb="7" eb="8">
      <t>ソウ</t>
    </rPh>
    <rPh sb="8" eb="11">
      <t>シキュウリツ</t>
    </rPh>
    <rPh sb="12" eb="14">
      <t>サンテイ</t>
    </rPh>
    <rPh sb="20" eb="21">
      <t>ジツ</t>
    </rPh>
    <rPh sb="21" eb="24">
      <t>シキュウガク</t>
    </rPh>
    <rPh sb="26" eb="28">
      <t>ゴサ</t>
    </rPh>
    <rPh sb="29" eb="30">
      <t>ショウ</t>
    </rPh>
    <phoneticPr fontId="5"/>
  </si>
  <si>
    <t>小中教育職（特支）</t>
    <rPh sb="0" eb="2">
      <t>コナカ</t>
    </rPh>
    <rPh sb="2" eb="4">
      <t>キョウイク</t>
    </rPh>
    <rPh sb="4" eb="5">
      <t>ショク</t>
    </rPh>
    <rPh sb="6" eb="8">
      <t>トクシ</t>
    </rPh>
    <phoneticPr fontId="5"/>
  </si>
  <si>
    <t>校種１</t>
    <rPh sb="0" eb="2">
      <t>コウシュ</t>
    </rPh>
    <phoneticPr fontId="2"/>
  </si>
  <si>
    <t>校種２（調整額）</t>
    <rPh sb="0" eb="2">
      <t>コウシュ</t>
    </rPh>
    <rPh sb="4" eb="7">
      <t>チョウセイガク</t>
    </rPh>
    <phoneticPr fontId="2"/>
  </si>
  <si>
    <t>高校</t>
    <rPh sb="0" eb="2">
      <t>コウコウ</t>
    </rPh>
    <phoneticPr fontId="2"/>
  </si>
  <si>
    <t>特別支援学校</t>
    <rPh sb="0" eb="2">
      <t>トクベツ</t>
    </rPh>
    <rPh sb="2" eb="4">
      <t>シエン</t>
    </rPh>
    <rPh sb="4" eb="6">
      <t>ガッコウ</t>
    </rPh>
    <phoneticPr fontId="2"/>
  </si>
  <si>
    <t>小中学校</t>
    <rPh sb="0" eb="4">
      <t>ショウチュウガッコウ</t>
    </rPh>
    <phoneticPr fontId="2"/>
  </si>
  <si>
    <t>校種１＆職種</t>
    <rPh sb="0" eb="2">
      <t>コウシュ</t>
    </rPh>
    <rPh sb="4" eb="6">
      <t>ショクシュ</t>
    </rPh>
    <phoneticPr fontId="2"/>
  </si>
  <si>
    <t>労務職員</t>
    <rPh sb="0" eb="2">
      <t>ロウム</t>
    </rPh>
    <rPh sb="2" eb="4">
      <t>ショクイン</t>
    </rPh>
    <phoneticPr fontId="2"/>
  </si>
  <si>
    <t>コード</t>
    <phoneticPr fontId="2"/>
  </si>
  <si>
    <t>年収比較について（見込み）</t>
    <rPh sb="0" eb="2">
      <t>ネンシュウ</t>
    </rPh>
    <rPh sb="2" eb="4">
      <t>ヒカク</t>
    </rPh>
    <rPh sb="9" eb="11">
      <t>ミコ</t>
    </rPh>
    <phoneticPr fontId="2"/>
  </si>
  <si>
    <t>あなたの勤務しない１時間につき減額される給与は、</t>
    <rPh sb="4" eb="6">
      <t>キンム</t>
    </rPh>
    <rPh sb="10" eb="12">
      <t>ジカン</t>
    </rPh>
    <rPh sb="15" eb="17">
      <t>ゲンガク</t>
    </rPh>
    <rPh sb="20" eb="22">
      <t>キュウヨ</t>
    </rPh>
    <phoneticPr fontId="2"/>
  </si>
  <si>
    <t>円です。</t>
    <rPh sb="0" eb="1">
      <t>エン</t>
    </rPh>
    <phoneticPr fontId="2"/>
  </si>
  <si>
    <t>円－</t>
    <rPh sb="0" eb="1">
      <t>エン</t>
    </rPh>
    <phoneticPr fontId="2"/>
  </si>
  <si>
    <t>ただし、扶養手当等、個人の状況によって支給される手当は含まれていません。</t>
    <rPh sb="4" eb="6">
      <t>フヨウ</t>
    </rPh>
    <rPh sb="6" eb="8">
      <t>テアテ</t>
    </rPh>
    <rPh sb="8" eb="9">
      <t>トウ</t>
    </rPh>
    <rPh sb="10" eb="12">
      <t>コジン</t>
    </rPh>
    <rPh sb="13" eb="15">
      <t>ジョウキョウ</t>
    </rPh>
    <rPh sb="19" eb="21">
      <t>シキュウ</t>
    </rPh>
    <rPh sb="24" eb="26">
      <t>テアテ</t>
    </rPh>
    <rPh sb="27" eb="28">
      <t>フク</t>
    </rPh>
    <phoneticPr fontId="2"/>
  </si>
  <si>
    <t>定年前再任用短時間コード</t>
    <rPh sb="0" eb="3">
      <t>テイネンマエ</t>
    </rPh>
    <rPh sb="3" eb="6">
      <t>サイニンヨウ</t>
    </rPh>
    <rPh sb="6" eb="9">
      <t>タンジカン</t>
    </rPh>
    <phoneticPr fontId="2"/>
  </si>
  <si>
    <t>高齢者部分休業を取得した翌月の給与から減額されます。</t>
    <rPh sb="0" eb="3">
      <t>コウレイシャ</t>
    </rPh>
    <rPh sb="3" eb="5">
      <t>ブブン</t>
    </rPh>
    <rPh sb="5" eb="7">
      <t>キュウギョウ</t>
    </rPh>
    <rPh sb="8" eb="10">
      <t>シュトク</t>
    </rPh>
    <rPh sb="12" eb="13">
      <t>ヨク</t>
    </rPh>
    <rPh sb="13" eb="14">
      <t>ツキ</t>
    </rPh>
    <rPh sb="15" eb="17">
      <t>キュウヨ</t>
    </rPh>
    <rPh sb="19" eb="21">
      <t>ゲンガク</t>
    </rPh>
    <phoneticPr fontId="2"/>
  </si>
  <si>
    <t>減額の対象となる給料・手当は以下のとおりです。</t>
    <rPh sb="0" eb="2">
      <t>ゲンガク</t>
    </rPh>
    <rPh sb="3" eb="5">
      <t>タイショウ</t>
    </rPh>
    <rPh sb="8" eb="10">
      <t>キュウリョウ</t>
    </rPh>
    <rPh sb="11" eb="13">
      <t>テアテ</t>
    </rPh>
    <rPh sb="14" eb="16">
      <t>イカ</t>
    </rPh>
    <phoneticPr fontId="2"/>
  </si>
  <si>
    <t>・定時制通信教育手当　　・産業教育手当　　　・義務教育等教員特別手当</t>
    <rPh sb="1" eb="4">
      <t>テイジセイ</t>
    </rPh>
    <rPh sb="4" eb="6">
      <t>ツウシン</t>
    </rPh>
    <rPh sb="6" eb="8">
      <t>キョウイク</t>
    </rPh>
    <rPh sb="8" eb="10">
      <t>テアテ</t>
    </rPh>
    <rPh sb="13" eb="15">
      <t>サンギョウ</t>
    </rPh>
    <rPh sb="15" eb="17">
      <t>キョウイク</t>
    </rPh>
    <rPh sb="17" eb="19">
      <t>テアテ</t>
    </rPh>
    <rPh sb="23" eb="25">
      <t>ギム</t>
    </rPh>
    <rPh sb="25" eb="27">
      <t>キョウイク</t>
    </rPh>
    <rPh sb="27" eb="28">
      <t>トウ</t>
    </rPh>
    <rPh sb="28" eb="30">
      <t>キョウイン</t>
    </rPh>
    <rPh sb="30" eb="32">
      <t>トクベツ</t>
    </rPh>
    <rPh sb="32" eb="34">
      <t>テアテ</t>
    </rPh>
    <phoneticPr fontId="2"/>
  </si>
  <si>
    <t>・給料　　・給料の調整額　　・教職調整額　　</t>
    <rPh sb="1" eb="3">
      <t>キュウリョウ</t>
    </rPh>
    <rPh sb="6" eb="8">
      <t>キュウリョウ</t>
    </rPh>
    <rPh sb="9" eb="12">
      <t>チョウセイガク</t>
    </rPh>
    <rPh sb="15" eb="17">
      <t>キョウショク</t>
    </rPh>
    <rPh sb="17" eb="20">
      <t>チョウセイガク</t>
    </rPh>
    <phoneticPr fontId="2"/>
  </si>
  <si>
    <t>・地域手当　　・管理職手当</t>
    <phoneticPr fontId="2"/>
  </si>
  <si>
    <t>７割措置後に高齢者部分休業を取得した場合、勤務時間に応じて給与の減額がされます。</t>
    <rPh sb="1" eb="2">
      <t>ワリ</t>
    </rPh>
    <rPh sb="2" eb="4">
      <t>ソチ</t>
    </rPh>
    <rPh sb="4" eb="5">
      <t>ゴ</t>
    </rPh>
    <rPh sb="6" eb="9">
      <t>コウレイシャ</t>
    </rPh>
    <rPh sb="9" eb="11">
      <t>ブブン</t>
    </rPh>
    <rPh sb="11" eb="13">
      <t>キュウギョウ</t>
    </rPh>
    <rPh sb="14" eb="16">
      <t>シュトク</t>
    </rPh>
    <rPh sb="18" eb="20">
      <t>バアイ</t>
    </rPh>
    <rPh sb="21" eb="23">
      <t>キンム</t>
    </rPh>
    <rPh sb="23" eb="25">
      <t>ジカン</t>
    </rPh>
    <rPh sb="26" eb="27">
      <t>オウ</t>
    </rPh>
    <rPh sb="29" eb="31">
      <t>キュウヨ</t>
    </rPh>
    <rPh sb="32" eb="34">
      <t>ゲンガク</t>
    </rPh>
    <phoneticPr fontId="2"/>
  </si>
  <si>
    <t>◆管理監督職上限年齢により役職定年となった職員には、当分の間、60歳に達した日後の最初の４月１日以後、７割措置後の給料
　月額のほか、管理監督職上限年齢調整額が給料として支給されます。
　これにより、管理監督職として受けていた給料月額の７割水準の額が支給されます。</t>
    <rPh sb="1" eb="3">
      <t>カンリ</t>
    </rPh>
    <rPh sb="3" eb="5">
      <t>カントク</t>
    </rPh>
    <rPh sb="5" eb="6">
      <t>ショク</t>
    </rPh>
    <rPh sb="6" eb="8">
      <t>ジョウゲン</t>
    </rPh>
    <rPh sb="8" eb="10">
      <t>ネンレイ</t>
    </rPh>
    <rPh sb="13" eb="15">
      <t>ヤクショク</t>
    </rPh>
    <rPh sb="15" eb="17">
      <t>テイネン</t>
    </rPh>
    <rPh sb="21" eb="23">
      <t>ショクイン</t>
    </rPh>
    <rPh sb="26" eb="28">
      <t>トウブン</t>
    </rPh>
    <rPh sb="29" eb="30">
      <t>カン</t>
    </rPh>
    <rPh sb="33" eb="34">
      <t>サイ</t>
    </rPh>
    <rPh sb="35" eb="36">
      <t>タッ</t>
    </rPh>
    <rPh sb="38" eb="39">
      <t>ヒ</t>
    </rPh>
    <rPh sb="39" eb="40">
      <t>ゴ</t>
    </rPh>
    <rPh sb="41" eb="43">
      <t>サイショ</t>
    </rPh>
    <rPh sb="45" eb="46">
      <t>ガツ</t>
    </rPh>
    <rPh sb="47" eb="48">
      <t>ニチ</t>
    </rPh>
    <rPh sb="48" eb="50">
      <t>イゴ</t>
    </rPh>
    <rPh sb="52" eb="53">
      <t>ワリ</t>
    </rPh>
    <rPh sb="53" eb="56">
      <t>ソチゴ</t>
    </rPh>
    <rPh sb="57" eb="59">
      <t>キュウリョウ</t>
    </rPh>
    <rPh sb="61" eb="63">
      <t>ゲツガク</t>
    </rPh>
    <rPh sb="67" eb="69">
      <t>カンリ</t>
    </rPh>
    <rPh sb="69" eb="72">
      <t>カントクショク</t>
    </rPh>
    <rPh sb="72" eb="74">
      <t>ジョウゲン</t>
    </rPh>
    <rPh sb="74" eb="76">
      <t>ネンレイ</t>
    </rPh>
    <rPh sb="76" eb="79">
      <t>チョウセイガク</t>
    </rPh>
    <rPh sb="80" eb="82">
      <t>キュウリョウ</t>
    </rPh>
    <rPh sb="85" eb="87">
      <t>シキュウ</t>
    </rPh>
    <rPh sb="100" eb="102">
      <t>カンリ</t>
    </rPh>
    <rPh sb="102" eb="105">
      <t>カントクショク</t>
    </rPh>
    <rPh sb="108" eb="109">
      <t>ウ</t>
    </rPh>
    <rPh sb="113" eb="115">
      <t>キュウリョウ</t>
    </rPh>
    <rPh sb="115" eb="117">
      <t>ゲツガク</t>
    </rPh>
    <rPh sb="119" eb="120">
      <t>ワリ</t>
    </rPh>
    <rPh sb="120" eb="122">
      <t>スイジュン</t>
    </rPh>
    <rPh sb="123" eb="124">
      <t>ガク</t>
    </rPh>
    <rPh sb="125" eb="127">
      <t>シキュウ</t>
    </rPh>
    <phoneticPr fontId="2"/>
  </si>
  <si>
    <t xml:space="preserve">    Step２の給料月額には含まれているため、管理監督職上限年齢調整額の金額を知りたい場合のみ</t>
    <rPh sb="10" eb="12">
      <t>キュウリョウ</t>
    </rPh>
    <rPh sb="12" eb="14">
      <t>ゲツガク</t>
    </rPh>
    <rPh sb="16" eb="17">
      <t>フク</t>
    </rPh>
    <rPh sb="25" eb="27">
      <t>カンリ</t>
    </rPh>
    <rPh sb="27" eb="29">
      <t>カントク</t>
    </rPh>
    <rPh sb="29" eb="30">
      <t>ショク</t>
    </rPh>
    <rPh sb="30" eb="32">
      <t>ジョウゲン</t>
    </rPh>
    <rPh sb="32" eb="34">
      <t>ネンレイ</t>
    </rPh>
    <rPh sb="34" eb="37">
      <t>チョウセイガク</t>
    </rPh>
    <rPh sb="38" eb="40">
      <t>キンガク</t>
    </rPh>
    <rPh sb="41" eb="42">
      <t>シ</t>
    </rPh>
    <rPh sb="45" eb="47">
      <t>バアイ</t>
    </rPh>
    <phoneticPr fontId="2"/>
  </si>
  <si>
    <t>－－－－－－－－－－－－－－－－▼以下、管理監督職から役職定年となった方のみ▼－－－－－－－－－－－－－－－－</t>
    <rPh sb="18" eb="20">
      <t>イカ</t>
    </rPh>
    <rPh sb="21" eb="23">
      <t>カンリ</t>
    </rPh>
    <rPh sb="23" eb="25">
      <t>カントク</t>
    </rPh>
    <rPh sb="25" eb="26">
      <t>ショク</t>
    </rPh>
    <rPh sb="28" eb="30">
      <t>ヤクショク</t>
    </rPh>
    <rPh sb="30" eb="32">
      <t>テイネン</t>
    </rPh>
    <rPh sb="36" eb="37">
      <t>カタ</t>
    </rPh>
    <phoneticPr fontId="2"/>
  </si>
  <si>
    <t>・校種を入力してください。</t>
    <rPh sb="1" eb="3">
      <t>コウシュ</t>
    </rPh>
    <rPh sb="4" eb="6">
      <t>ニュウリョク</t>
    </rPh>
    <phoneticPr fontId="2"/>
  </si>
  <si>
    <t>・職種を入力してください。</t>
    <rPh sb="1" eb="3">
      <t>ショクシュ</t>
    </rPh>
    <rPh sb="4" eb="6">
      <t>ニュウリョク</t>
    </rPh>
    <phoneticPr fontId="2"/>
  </si>
  <si>
    <t>・給料月額を入力してください。</t>
    <rPh sb="1" eb="3">
      <t>キュウリョウ</t>
    </rPh>
    <rPh sb="3" eb="5">
      <t>ゲツガク</t>
    </rPh>
    <rPh sb="6" eb="8">
      <t>ニュウリョク</t>
    </rPh>
    <phoneticPr fontId="2"/>
  </si>
  <si>
    <t>・役職定年後の給料表・級・号給に応じた給料月額を入力してください。</t>
    <rPh sb="1" eb="3">
      <t>ヤクショク</t>
    </rPh>
    <rPh sb="3" eb="5">
      <t>テイネン</t>
    </rPh>
    <rPh sb="5" eb="6">
      <t>ゴ</t>
    </rPh>
    <rPh sb="7" eb="9">
      <t>キュウリョウ</t>
    </rPh>
    <rPh sb="9" eb="10">
      <t>ヒョウ</t>
    </rPh>
    <rPh sb="11" eb="12">
      <t>キュウ</t>
    </rPh>
    <rPh sb="13" eb="15">
      <t>ゴウキュウ</t>
    </rPh>
    <rPh sb="16" eb="17">
      <t>オウ</t>
    </rPh>
    <rPh sb="19" eb="21">
      <t>キュウリョウ</t>
    </rPh>
    <rPh sb="21" eb="23">
      <t>ゲツガク</t>
    </rPh>
    <rPh sb="24" eb="26">
      <t>ニュウリョク</t>
    </rPh>
    <phoneticPr fontId="2"/>
  </si>
  <si>
    <t xml:space="preserve">　管理監督職上限年齢調整額  </t>
    <rPh sb="1" eb="3">
      <t>カンリ</t>
    </rPh>
    <rPh sb="3" eb="6">
      <t>カントクショク</t>
    </rPh>
    <rPh sb="6" eb="8">
      <t>ジョウゲン</t>
    </rPh>
    <rPh sb="8" eb="10">
      <t>ネンレイ</t>
    </rPh>
    <rPh sb="10" eb="13">
      <t>チョウセイガク</t>
    </rPh>
    <phoneticPr fontId="2"/>
  </si>
  <si>
    <t>円　＝</t>
    <rPh sb="0" eb="1">
      <t>エン</t>
    </rPh>
    <phoneticPr fontId="2"/>
  </si>
  <si>
    <t>引き続き７割措置として勤務した場合と定年前再任用短時間として勤務した場合の年収を比較</t>
    <rPh sb="0" eb="1">
      <t>ヒ</t>
    </rPh>
    <rPh sb="2" eb="3">
      <t>ツヅ</t>
    </rPh>
    <rPh sb="5" eb="6">
      <t>ワリ</t>
    </rPh>
    <rPh sb="6" eb="8">
      <t>ソチ</t>
    </rPh>
    <rPh sb="11" eb="13">
      <t>キンム</t>
    </rPh>
    <rPh sb="15" eb="17">
      <t>バアイ</t>
    </rPh>
    <rPh sb="18" eb="21">
      <t>テイネンマエ</t>
    </rPh>
    <rPh sb="21" eb="24">
      <t>サイニンヨウ</t>
    </rPh>
    <rPh sb="24" eb="27">
      <t>タンジカン</t>
    </rPh>
    <rPh sb="30" eb="32">
      <t>キンム</t>
    </rPh>
    <rPh sb="34" eb="36">
      <t>バアイ</t>
    </rPh>
    <rPh sb="37" eb="39">
      <t>ネンシュウ</t>
    </rPh>
    <rPh sb="40" eb="42">
      <t>ヒカク</t>
    </rPh>
    <phoneticPr fontId="2"/>
  </si>
  <si>
    <t>することができます。</t>
    <phoneticPr fontId="2"/>
  </si>
  <si>
    <t>７割措置後の諸手当について、ご確認ください。（はい：１、いいえ：空欄）</t>
    <rPh sb="1" eb="2">
      <t>ワリ</t>
    </rPh>
    <rPh sb="2" eb="5">
      <t>ソチゴ</t>
    </rPh>
    <rPh sb="6" eb="9">
      <t>ショテアテ</t>
    </rPh>
    <rPh sb="15" eb="17">
      <t>カクニン</t>
    </rPh>
    <rPh sb="32" eb="34">
      <t>クウラン</t>
    </rPh>
    <phoneticPr fontId="2"/>
  </si>
  <si>
    <t>調整額金額</t>
    <rPh sb="0" eb="3">
      <t>チョウセイガク</t>
    </rPh>
    <rPh sb="3" eb="5">
      <t>キンガク</t>
    </rPh>
    <phoneticPr fontId="2"/>
  </si>
  <si>
    <t>特別支援学校（２級）</t>
    <rPh sb="0" eb="2">
      <t>トクベツ</t>
    </rPh>
    <rPh sb="2" eb="4">
      <t>シエン</t>
    </rPh>
    <rPh sb="4" eb="6">
      <t>ガッコウ</t>
    </rPh>
    <rPh sb="8" eb="9">
      <t>キュウ</t>
    </rPh>
    <phoneticPr fontId="2"/>
  </si>
  <si>
    <t>特別支援学校（１級）</t>
    <rPh sb="0" eb="2">
      <t>トクベツ</t>
    </rPh>
    <rPh sb="2" eb="4">
      <t>シエン</t>
    </rPh>
    <rPh sb="4" eb="6">
      <t>ガッコウ</t>
    </rPh>
    <rPh sb="8" eb="9">
      <t>キュウ</t>
    </rPh>
    <phoneticPr fontId="2"/>
  </si>
  <si>
    <t>船員（５級）</t>
    <rPh sb="0" eb="2">
      <t>センイン</t>
    </rPh>
    <rPh sb="4" eb="5">
      <t>キュウ</t>
    </rPh>
    <phoneticPr fontId="2"/>
  </si>
  <si>
    <t>船員（４級）</t>
    <rPh sb="0" eb="2">
      <t>センイン</t>
    </rPh>
    <rPh sb="4" eb="5">
      <t>キュウ</t>
    </rPh>
    <phoneticPr fontId="2"/>
  </si>
  <si>
    <t>小中学校（２級）</t>
    <rPh sb="0" eb="4">
      <t>ショウチュウガッコウ</t>
    </rPh>
    <rPh sb="6" eb="7">
      <t>キュウ</t>
    </rPh>
    <phoneticPr fontId="2"/>
  </si>
  <si>
    <t>※１円未満切捨て</t>
    <phoneticPr fontId="2"/>
  </si>
  <si>
    <t>　※教育職が支給対象</t>
    <rPh sb="2" eb="5">
      <t>キョウイクショク</t>
    </rPh>
    <rPh sb="6" eb="8">
      <t>シキュウ</t>
    </rPh>
    <rPh sb="8" eb="10">
      <t>タイショウ</t>
    </rPh>
    <phoneticPr fontId="2"/>
  </si>
  <si>
    <t>小中学校（１級）</t>
    <rPh sb="0" eb="4">
      <t>ショウチュウガッコウ</t>
    </rPh>
    <rPh sb="6" eb="7">
      <t>キュウ</t>
    </rPh>
    <phoneticPr fontId="2"/>
  </si>
  <si>
    <t>船員（労務３級）</t>
    <rPh sb="0" eb="2">
      <t>センイン</t>
    </rPh>
    <rPh sb="3" eb="5">
      <t>ロウム</t>
    </rPh>
    <rPh sb="6" eb="7">
      <t>キュウ</t>
    </rPh>
    <phoneticPr fontId="2"/>
  </si>
  <si>
    <t>船員（労務２級）</t>
    <rPh sb="0" eb="2">
      <t>センイン</t>
    </rPh>
    <rPh sb="3" eb="5">
      <t>ロウム</t>
    </rPh>
    <rPh sb="6" eb="7">
      <t>キュウ</t>
    </rPh>
    <phoneticPr fontId="2"/>
  </si>
  <si>
    <t>B</t>
    <phoneticPr fontId="2"/>
  </si>
  <si>
    <t>「給与支給明細書」により、ご自身の給料月額（給与支給明細書の「給料又は報酬」をご確認ください。）</t>
    <rPh sb="1" eb="3">
      <t>キュウヨ</t>
    </rPh>
    <rPh sb="3" eb="5">
      <t>シキュウ</t>
    </rPh>
    <rPh sb="5" eb="8">
      <t>メイサイショ</t>
    </rPh>
    <rPh sb="14" eb="16">
      <t>ジシン</t>
    </rPh>
    <rPh sb="17" eb="19">
      <t>キュウリョウ</t>
    </rPh>
    <rPh sb="19" eb="21">
      <t>ゲツガク</t>
    </rPh>
    <rPh sb="22" eb="24">
      <t>キュウヨ</t>
    </rPh>
    <rPh sb="24" eb="26">
      <t>シキュウ</t>
    </rPh>
    <rPh sb="26" eb="29">
      <t>メイサイショ</t>
    </rPh>
    <rPh sb="31" eb="33">
      <t>キュウリョウ</t>
    </rPh>
    <rPh sb="33" eb="34">
      <t>マタ</t>
    </rPh>
    <rPh sb="35" eb="37">
      <t>ホウシュウ</t>
    </rPh>
    <rPh sb="40" eb="42">
      <t>カクニン</t>
    </rPh>
    <phoneticPr fontId="2"/>
  </si>
  <si>
    <t>※１円未満切捨て</t>
    <phoneticPr fontId="2"/>
  </si>
  <si>
    <t>労務職員（船員）</t>
    <rPh sb="0" eb="2">
      <t>ロウム</t>
    </rPh>
    <rPh sb="2" eb="4">
      <t>ショクイン</t>
    </rPh>
    <rPh sb="5" eb="7">
      <t>センイン</t>
    </rPh>
    <phoneticPr fontId="2"/>
  </si>
  <si>
    <t>行政職（船員）</t>
    <rPh sb="0" eb="2">
      <t>ギョウセイ</t>
    </rPh>
    <rPh sb="2" eb="3">
      <t>ショク</t>
    </rPh>
    <rPh sb="4" eb="6">
      <t>センイン</t>
    </rPh>
    <phoneticPr fontId="2"/>
  </si>
  <si>
    <t>行政職（船員）</t>
    <rPh sb="0" eb="3">
      <t>ギョウセイショク</t>
    </rPh>
    <rPh sb="4" eb="6">
      <t>センイン</t>
    </rPh>
    <phoneticPr fontId="5"/>
  </si>
  <si>
    <t>行政職（２）（船員）</t>
    <rPh sb="0" eb="3">
      <t>ギョウセイショク</t>
    </rPh>
    <rPh sb="7" eb="9">
      <t>センイン</t>
    </rPh>
    <phoneticPr fontId="5"/>
  </si>
  <si>
    <r>
      <t>給料（基本給）の試算について</t>
    </r>
    <r>
      <rPr>
        <b/>
        <sz val="18"/>
        <color theme="1"/>
        <rFont val="HG丸ｺﾞｼｯｸM-PRO"/>
        <family val="3"/>
        <charset val="128"/>
      </rPr>
      <t>（給料月額の７割措置を受ける方）</t>
    </r>
    <rPh sb="0" eb="2">
      <t>キュウリョウ</t>
    </rPh>
    <rPh sb="3" eb="6">
      <t>キホンキュウ</t>
    </rPh>
    <rPh sb="8" eb="10">
      <t>シサン</t>
    </rPh>
    <rPh sb="15" eb="17">
      <t>キュウリョウ</t>
    </rPh>
    <rPh sb="17" eb="19">
      <t>ゲツガク</t>
    </rPh>
    <rPh sb="21" eb="22">
      <t>ワリ</t>
    </rPh>
    <rPh sb="22" eb="24">
      <t>ソチ</t>
    </rPh>
    <rPh sb="25" eb="26">
      <t>ウ</t>
    </rPh>
    <rPh sb="28" eb="29">
      <t>カタ</t>
    </rPh>
    <phoneticPr fontId="2"/>
  </si>
  <si>
    <t>　こちらは、60歳に達した日後の給料（基本給）について、試算していただくためのシートです。</t>
    <rPh sb="8" eb="9">
      <t>サイ</t>
    </rPh>
    <rPh sb="10" eb="11">
      <t>タッ</t>
    </rPh>
    <rPh sb="13" eb="14">
      <t>ヒ</t>
    </rPh>
    <rPh sb="14" eb="15">
      <t>ゴ</t>
    </rPh>
    <rPh sb="16" eb="18">
      <t>キュウリョウ</t>
    </rPh>
    <rPh sb="19" eb="21">
      <t>キホン</t>
    </rPh>
    <rPh sb="21" eb="22">
      <t>キュウ</t>
    </rPh>
    <rPh sb="28" eb="30">
      <t>シサン</t>
    </rPh>
    <phoneticPr fontId="2"/>
  </si>
  <si>
    <t>　　◆試算の結果は、実際の支給と異なる場合があります。</t>
    <rPh sb="3" eb="5">
      <t>シサン</t>
    </rPh>
    <rPh sb="6" eb="8">
      <t>ケッカ</t>
    </rPh>
    <rPh sb="10" eb="12">
      <t>ジッサイ</t>
    </rPh>
    <rPh sb="13" eb="15">
      <t>シキュウ</t>
    </rPh>
    <rPh sb="16" eb="17">
      <t>コト</t>
    </rPh>
    <rPh sb="19" eb="21">
      <t>バアイ</t>
    </rPh>
    <phoneticPr fontId="2"/>
  </si>
  <si>
    <t>にご自身の情報を入力すると、現在の給料月額を60歳に達する日以後の最初の</t>
    <rPh sb="2" eb="4">
      <t>ジシン</t>
    </rPh>
    <rPh sb="5" eb="7">
      <t>ジョウホウ</t>
    </rPh>
    <rPh sb="8" eb="10">
      <t>ニュウリョク</t>
    </rPh>
    <rPh sb="14" eb="16">
      <t>ゲンザイ</t>
    </rPh>
    <rPh sb="17" eb="19">
      <t>キュウリョウ</t>
    </rPh>
    <rPh sb="19" eb="21">
      <t>ゲツガク</t>
    </rPh>
    <rPh sb="24" eb="25">
      <t>サイ</t>
    </rPh>
    <rPh sb="26" eb="27">
      <t>タッ</t>
    </rPh>
    <rPh sb="29" eb="30">
      <t>ヒ</t>
    </rPh>
    <rPh sb="30" eb="32">
      <t>イゴ</t>
    </rPh>
    <rPh sb="33" eb="35">
      <t>サイショ</t>
    </rPh>
    <phoneticPr fontId="2"/>
  </si>
  <si>
    <t>①あなたは給料の調整額の支給を受けますか？</t>
    <rPh sb="5" eb="7">
      <t>キュウリョウ</t>
    </rPh>
    <rPh sb="8" eb="11">
      <t>チョウセイガク</t>
    </rPh>
    <rPh sb="12" eb="14">
      <t>シキュウ</t>
    </rPh>
    <rPh sb="15" eb="16">
      <t>ウ</t>
    </rPh>
    <phoneticPr fontId="2"/>
  </si>
  <si>
    <t>②あなたは教職調整額の支給を受けますか？</t>
    <rPh sb="5" eb="7">
      <t>キョウショク</t>
    </rPh>
    <rPh sb="7" eb="10">
      <t>チョウセイガク</t>
    </rPh>
    <rPh sb="11" eb="13">
      <t>シキュウ</t>
    </rPh>
    <rPh sb="14" eb="15">
      <t>ウ</t>
    </rPh>
    <phoneticPr fontId="2"/>
  </si>
  <si>
    <t>③あなたは義務教育等教員特別手当の支給を受けますか？</t>
    <rPh sb="5" eb="7">
      <t>ギム</t>
    </rPh>
    <rPh sb="7" eb="9">
      <t>キョウイク</t>
    </rPh>
    <rPh sb="9" eb="10">
      <t>トウ</t>
    </rPh>
    <rPh sb="10" eb="12">
      <t>キョウイン</t>
    </rPh>
    <rPh sb="12" eb="14">
      <t>トクベツ</t>
    </rPh>
    <rPh sb="14" eb="16">
      <t>テアテ</t>
    </rPh>
    <rPh sb="17" eb="19">
      <t>シキュウ</t>
    </rPh>
    <rPh sb="20" eb="21">
      <t>ウ</t>
    </rPh>
    <phoneticPr fontId="2"/>
  </si>
  <si>
    <t>　　　３月31日現在の給料月額とみなして、おおよその支給額の試算ができます。</t>
    <rPh sb="4" eb="5">
      <t>ガツ</t>
    </rPh>
    <rPh sb="7" eb="8">
      <t>ニチ</t>
    </rPh>
    <rPh sb="8" eb="10">
      <t>ゲンザイ</t>
    </rPh>
    <rPh sb="11" eb="13">
      <t>キュウリョウ</t>
    </rPh>
    <rPh sb="13" eb="15">
      <t>ゲツガク</t>
    </rPh>
    <rPh sb="26" eb="29">
      <t>シキュウガク</t>
    </rPh>
    <rPh sb="30" eb="32">
      <t>シサン</t>
    </rPh>
    <phoneticPr fontId="2"/>
  </si>
  <si>
    <r>
      <t>円</t>
    </r>
    <r>
      <rPr>
        <sz val="12"/>
        <color theme="1"/>
        <rFont val="HG丸ｺﾞｼｯｸM-PRO"/>
        <family val="3"/>
        <charset val="128"/>
      </rPr>
      <t>･･･A</t>
    </r>
    <rPh sb="0" eb="1">
      <t>エン</t>
    </rPh>
    <phoneticPr fontId="2"/>
  </si>
  <si>
    <r>
      <rPr>
        <sz val="12"/>
        <color theme="1"/>
        <rFont val="HG丸ｺﾞｼｯｸM-PRO"/>
        <family val="3"/>
        <charset val="128"/>
      </rPr>
      <t>円</t>
    </r>
    <r>
      <rPr>
        <sz val="11"/>
        <color theme="1"/>
        <rFont val="HG丸ｺﾞｼｯｸM-PRO"/>
        <family val="3"/>
        <charset val="128"/>
      </rPr>
      <t>･･･B</t>
    </r>
    <rPh sb="0" eb="1">
      <t>エン</t>
    </rPh>
    <phoneticPr fontId="2"/>
  </si>
  <si>
    <t>　※特別支援学校、小中学校の特別支援学級を担当する教育職、焼津水産高校の船員が支給対象</t>
    <rPh sb="2" eb="4">
      <t>トクベツ</t>
    </rPh>
    <rPh sb="4" eb="6">
      <t>シエン</t>
    </rPh>
    <rPh sb="6" eb="8">
      <t>ガッコウ</t>
    </rPh>
    <rPh sb="9" eb="13">
      <t>ショウチュウガッコウ</t>
    </rPh>
    <rPh sb="14" eb="16">
      <t>トクベツ</t>
    </rPh>
    <rPh sb="16" eb="18">
      <t>シエン</t>
    </rPh>
    <rPh sb="18" eb="20">
      <t>ガッキュウ</t>
    </rPh>
    <rPh sb="21" eb="23">
      <t>タントウ</t>
    </rPh>
    <rPh sb="25" eb="28">
      <t>キョウイクショク</t>
    </rPh>
    <rPh sb="29" eb="31">
      <t>ヤイヅ</t>
    </rPh>
    <rPh sb="31" eb="33">
      <t>スイサン</t>
    </rPh>
    <rPh sb="33" eb="35">
      <t>コウコウ</t>
    </rPh>
    <rPh sb="36" eb="38">
      <t>センイン</t>
    </rPh>
    <rPh sb="39" eb="41">
      <t>シキュウ</t>
    </rPh>
    <rPh sb="41" eb="43">
      <t>タイショウ</t>
    </rPh>
    <phoneticPr fontId="2"/>
  </si>
  <si>
    <t>試算の結果は、実際の支給と異なる場合があります。</t>
    <rPh sb="0" eb="2">
      <t>シサン</t>
    </rPh>
    <rPh sb="3" eb="5">
      <t>ケッカ</t>
    </rPh>
    <rPh sb="7" eb="9">
      <t>ジッサイ</t>
    </rPh>
    <rPh sb="10" eb="12">
      <t>シキュウ</t>
    </rPh>
    <rPh sb="13" eb="14">
      <t>コト</t>
    </rPh>
    <rPh sb="16" eb="18">
      <t>バアイ</t>
    </rPh>
    <phoneticPr fontId="2"/>
  </si>
  <si>
    <t>※上記の７割措置の支給額に対する試算です。</t>
    <rPh sb="1" eb="3">
      <t>ジョウキ</t>
    </rPh>
    <rPh sb="5" eb="6">
      <t>ワリ</t>
    </rPh>
    <rPh sb="6" eb="8">
      <t>ソチ</t>
    </rPh>
    <rPh sb="9" eb="12">
      <t>シキュウガク</t>
    </rPh>
    <rPh sb="13" eb="14">
      <t>タイ</t>
    </rPh>
    <rPh sb="16" eb="18">
      <t>シサン</t>
    </rPh>
    <phoneticPr fontId="2"/>
  </si>
  <si>
    <t>※定年前再任用短時間は、１週間あたり19時間25分勤務としています。</t>
    <rPh sb="1" eb="4">
      <t>テイネンマエ</t>
    </rPh>
    <rPh sb="4" eb="7">
      <t>サイニンヨウ</t>
    </rPh>
    <rPh sb="7" eb="10">
      <t>タンジカン</t>
    </rPh>
    <rPh sb="13" eb="15">
      <t>シュウカン</t>
    </rPh>
    <rPh sb="20" eb="22">
      <t>ジカン</t>
    </rPh>
    <rPh sb="24" eb="25">
      <t>フン</t>
    </rPh>
    <rPh sb="25" eb="27">
      <t>キンム</t>
    </rPh>
    <phoneticPr fontId="2"/>
  </si>
  <si>
    <t>　※管理監督職以外の方は、給与支給明細書の金額を入力</t>
    <rPh sb="2" eb="4">
      <t>カンリ</t>
    </rPh>
    <rPh sb="4" eb="7">
      <t>カントクショク</t>
    </rPh>
    <rPh sb="7" eb="9">
      <t>イガイ</t>
    </rPh>
    <rPh sb="10" eb="11">
      <t>カタ</t>
    </rPh>
    <rPh sb="13" eb="15">
      <t>キュウヨ</t>
    </rPh>
    <rPh sb="15" eb="17">
      <t>シキュウ</t>
    </rPh>
    <rPh sb="17" eb="20">
      <t>メイサイショ</t>
    </rPh>
    <rPh sb="21" eb="23">
      <t>キンガク</t>
    </rPh>
    <rPh sb="24" eb="26">
      <t>ニュウリョク</t>
    </rPh>
    <phoneticPr fontId="2"/>
  </si>
  <si>
    <t>　※管理監督職の方は、教諭の最高額として入力（高校・特別支援学校5,600円、小中学校5,600円)</t>
    <rPh sb="2" eb="4">
      <t>カンリ</t>
    </rPh>
    <rPh sb="4" eb="7">
      <t>カントクショク</t>
    </rPh>
    <rPh sb="8" eb="9">
      <t>カタ</t>
    </rPh>
    <rPh sb="11" eb="13">
      <t>キョウユ</t>
    </rPh>
    <rPh sb="14" eb="17">
      <t>サイコウガク</t>
    </rPh>
    <rPh sb="20" eb="22">
      <t>ニュウリョク</t>
    </rPh>
    <rPh sb="23" eb="25">
      <t>コウコウ</t>
    </rPh>
    <rPh sb="26" eb="28">
      <t>トクベツ</t>
    </rPh>
    <rPh sb="28" eb="30">
      <t>シエン</t>
    </rPh>
    <rPh sb="30" eb="32">
      <t>ガッコウ</t>
    </rPh>
    <rPh sb="37" eb="38">
      <t>エン</t>
    </rPh>
    <rPh sb="39" eb="43">
      <t>ショウチュウガッコウ</t>
    </rPh>
    <rPh sb="48" eb="49">
      <t>エン</t>
    </rPh>
    <phoneticPr fontId="2"/>
  </si>
  <si>
    <t>Ｒ8.4～暫定再任用職員・定年前再任用短時間職員の給与モデル（令和８年４月１日適用（R7.12改正)給料表）</t>
    <rPh sb="5" eb="7">
      <t>ザンテイ</t>
    </rPh>
    <rPh sb="7" eb="10">
      <t>サイニンヨウ</t>
    </rPh>
    <rPh sb="10" eb="12">
      <t>ショクイン</t>
    </rPh>
    <rPh sb="13" eb="16">
      <t>テイネンマエ</t>
    </rPh>
    <rPh sb="16" eb="19">
      <t>サイニンヨウ</t>
    </rPh>
    <rPh sb="19" eb="22">
      <t>タンジカン</t>
    </rPh>
    <rPh sb="22" eb="24">
      <t>ショクイン</t>
    </rPh>
    <rPh sb="25" eb="27">
      <t>キュウヨ</t>
    </rPh>
    <rPh sb="31" eb="33">
      <t>レイワ</t>
    </rPh>
    <phoneticPr fontId="5"/>
  </si>
  <si>
    <t>※Ｒ７年度人事委員会勧告後</t>
    <rPh sb="3" eb="5">
      <t>ネンド</t>
    </rPh>
    <rPh sb="5" eb="10">
      <t>ジンジイインカイ</t>
    </rPh>
    <rPh sb="10" eb="13">
      <t>カンコクゴ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</si>
</sst>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0&quot;月&quot;"/>
    <numFmt numFmtId="178" formatCode="#,##0_);[Red]\(#,##0\)"/>
    <numFmt numFmtId="179" formatCode="#,##0_ "/>
    <numFmt numFmtId="180" formatCode="0.0_ "/>
    <numFmt numFmtId="181" formatCode="#,##0_ ;[Red]\-#,##0\ "/>
    <numFmt numFmtId="182" formatCode="0.00_ "/>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1"/>
      <color indexed="8"/>
      <name val="游ゴシック"/>
      <family val="3"/>
      <charset val="128"/>
    </font>
    <font>
      <sz val="11"/>
      <color theme="1"/>
      <name val="ＭＳ Ｐゴシック"/>
      <family val="3"/>
      <charset val="128"/>
    </font>
    <font>
      <b/>
      <sz val="22"/>
      <color theme="1"/>
      <name val="HG丸ｺﾞｼｯｸM-PRO"/>
      <family val="3"/>
      <charset val="128"/>
    </font>
    <font>
      <b/>
      <sz val="18"/>
      <color theme="1"/>
      <name val="HG丸ｺﾞｼｯｸM-PRO"/>
      <family val="3"/>
      <charset val="128"/>
    </font>
    <font>
      <sz val="11"/>
      <color theme="1"/>
      <name val="HG丸ｺﾞｼｯｸM-PRO"/>
      <family val="3"/>
      <charset val="128"/>
    </font>
    <font>
      <sz val="11"/>
      <name val="HG丸ｺﾞｼｯｸM-PRO"/>
      <family val="3"/>
      <charset val="128"/>
    </font>
    <font>
      <sz val="10"/>
      <color theme="1"/>
      <name val="HG丸ｺﾞｼｯｸM-PRO"/>
      <family val="3"/>
      <charset val="128"/>
    </font>
    <font>
      <sz val="14"/>
      <name val="HG丸ｺﾞｼｯｸM-PRO"/>
      <family val="3"/>
      <charset val="128"/>
    </font>
    <font>
      <sz val="14"/>
      <color theme="1"/>
      <name val="HG丸ｺﾞｼｯｸM-PRO"/>
      <family val="3"/>
      <charset val="128"/>
    </font>
    <font>
      <sz val="12"/>
      <color theme="1"/>
      <name val="HG丸ｺﾞｼｯｸM-PRO"/>
      <family val="3"/>
      <charset val="128"/>
    </font>
    <font>
      <b/>
      <sz val="12"/>
      <color theme="1"/>
      <name val="HG丸ｺﾞｼｯｸM-PRO"/>
      <family val="3"/>
      <charset val="128"/>
    </font>
  </fonts>
  <fills count="8">
    <fill>
      <patternFill patternType="none"/>
    </fill>
    <fill>
      <patternFill patternType="gray125"/>
    </fill>
    <fill>
      <patternFill patternType="solid">
        <fgColor rgb="FFCCFFFF"/>
        <bgColor indexed="64"/>
      </patternFill>
    </fill>
    <fill>
      <patternFill patternType="solid">
        <fgColor rgb="FFFFFF00"/>
        <bgColor indexed="64"/>
      </patternFill>
    </fill>
    <fill>
      <gradientFill degree="90">
        <stop position="0">
          <color theme="0"/>
        </stop>
        <stop position="1">
          <color rgb="FFFFFF00"/>
        </stop>
      </gradient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cellStyleXfs>
  <cellXfs count="119">
    <xf numFmtId="0" fontId="0" fillId="0" borderId="0" xfId="0">
      <alignment vertical="center"/>
    </xf>
    <xf numFmtId="9" fontId="0" fillId="0" borderId="0" xfId="1" applyNumberFormat="1" applyFont="1">
      <alignment vertical="center"/>
    </xf>
    <xf numFmtId="0" fontId="0" fillId="0" borderId="0" xfId="0" applyAlignment="1">
      <alignment horizontal="center" vertical="center"/>
    </xf>
    <xf numFmtId="0" fontId="4" fillId="0" borderId="0" xfId="3" applyFont="1" applyAlignment="1"/>
    <xf numFmtId="0" fontId="3" fillId="0" borderId="0" xfId="3" applyAlignment="1"/>
    <xf numFmtId="0" fontId="3" fillId="0" borderId="0" xfId="3" applyAlignment="1">
      <alignment horizontal="right"/>
    </xf>
    <xf numFmtId="0" fontId="3" fillId="0" borderId="0" xfId="3" applyFont="1" applyAlignment="1"/>
    <xf numFmtId="0" fontId="3" fillId="0" borderId="0" xfId="3" quotePrefix="1" applyNumberFormat="1" applyAlignment="1">
      <alignment horizontal="right"/>
    </xf>
    <xf numFmtId="9" fontId="3" fillId="0" borderId="0" xfId="3" applyNumberFormat="1" applyAlignment="1"/>
    <xf numFmtId="176" fontId="3" fillId="0" borderId="0" xfId="3" applyNumberFormat="1" applyAlignment="1"/>
    <xf numFmtId="177" fontId="3" fillId="0" borderId="0" xfId="3" applyNumberFormat="1" applyAlignment="1">
      <alignment horizontal="right"/>
    </xf>
    <xf numFmtId="0" fontId="3" fillId="0" borderId="20" xfId="3" applyBorder="1" applyAlignment="1">
      <alignment vertical="center"/>
    </xf>
    <xf numFmtId="0" fontId="3" fillId="6" borderId="20" xfId="3" applyFill="1" applyBorder="1" applyAlignment="1">
      <alignment horizontal="center" vertical="center" shrinkToFit="1"/>
    </xf>
    <xf numFmtId="0" fontId="3" fillId="0" borderId="0" xfId="3" applyAlignment="1">
      <alignment vertical="center"/>
    </xf>
    <xf numFmtId="0" fontId="3" fillId="0" borderId="1" xfId="3" applyFont="1" applyBorder="1" applyAlignment="1">
      <alignment vertical="center"/>
    </xf>
    <xf numFmtId="0" fontId="3" fillId="0" borderId="0" xfId="3" quotePrefix="1" applyAlignment="1">
      <alignment horizontal="right"/>
    </xf>
    <xf numFmtId="38" fontId="6" fillId="0" borderId="0" xfId="4" applyFont="1" applyBorder="1" applyAlignment="1">
      <alignment vertical="center"/>
    </xf>
    <xf numFmtId="0" fontId="3" fillId="0" borderId="1" xfId="3" applyBorder="1" applyAlignment="1"/>
    <xf numFmtId="0" fontId="3" fillId="0" borderId="1" xfId="3" applyBorder="1" applyAlignment="1">
      <alignment horizontal="center" shrinkToFit="1"/>
    </xf>
    <xf numFmtId="0" fontId="3" fillId="0" borderId="1" xfId="3" applyBorder="1" applyAlignment="1">
      <alignment horizontal="center"/>
    </xf>
    <xf numFmtId="180" fontId="3" fillId="0" borderId="1" xfId="3" applyNumberFormat="1" applyBorder="1" applyAlignment="1"/>
    <xf numFmtId="0" fontId="3" fillId="0" borderId="21" xfId="3" applyFont="1" applyBorder="1" applyAlignment="1">
      <alignment vertical="center"/>
    </xf>
    <xf numFmtId="38" fontId="7" fillId="7" borderId="21" xfId="4" applyFont="1" applyFill="1" applyBorder="1" applyAlignment="1">
      <alignment horizontal="right" vertical="center" shrinkToFit="1"/>
    </xf>
    <xf numFmtId="38" fontId="7" fillId="7" borderId="1" xfId="4" applyFont="1" applyFill="1" applyBorder="1" applyAlignment="1">
      <alignment horizontal="right" vertical="center"/>
    </xf>
    <xf numFmtId="38" fontId="7" fillId="0" borderId="21" xfId="4" applyFont="1" applyBorder="1" applyAlignment="1">
      <alignment horizontal="right" vertical="center" shrinkToFit="1"/>
    </xf>
    <xf numFmtId="38" fontId="7" fillId="7" borderId="1" xfId="4" applyFont="1" applyFill="1" applyBorder="1" applyAlignment="1">
      <alignment horizontal="right" vertical="center" shrinkToFit="1"/>
    </xf>
    <xf numFmtId="38" fontId="7" fillId="0" borderId="1" xfId="4" applyFont="1" applyFill="1" applyBorder="1" applyAlignment="1">
      <alignment horizontal="right" vertical="center"/>
    </xf>
    <xf numFmtId="178" fontId="3" fillId="7" borderId="21" xfId="3" applyNumberFormat="1" applyFont="1" applyFill="1" applyBorder="1" applyAlignment="1">
      <alignment horizontal="right" vertical="center"/>
    </xf>
    <xf numFmtId="38" fontId="7" fillId="7" borderId="21" xfId="4" applyFont="1" applyFill="1" applyBorder="1" applyAlignment="1">
      <alignment horizontal="right" vertical="center"/>
    </xf>
    <xf numFmtId="178" fontId="3" fillId="7" borderId="21" xfId="3" applyNumberFormat="1" applyFont="1" applyFill="1" applyBorder="1" applyAlignment="1">
      <alignment vertical="center"/>
    </xf>
    <xf numFmtId="179" fontId="3" fillId="7" borderId="21" xfId="3" applyNumberFormat="1" applyFont="1" applyFill="1" applyBorder="1" applyAlignment="1">
      <alignment vertical="center"/>
    </xf>
    <xf numFmtId="179" fontId="3" fillId="0" borderId="21" xfId="3" applyNumberFormat="1" applyFont="1" applyBorder="1" applyAlignment="1">
      <alignment vertical="center"/>
    </xf>
    <xf numFmtId="178" fontId="3" fillId="7" borderId="1" xfId="3" applyNumberFormat="1" applyFont="1" applyFill="1" applyBorder="1" applyAlignment="1">
      <alignment vertical="center"/>
    </xf>
    <xf numFmtId="179" fontId="3" fillId="0" borderId="1" xfId="3" applyNumberFormat="1" applyFont="1" applyBorder="1" applyAlignment="1">
      <alignment vertical="center"/>
    </xf>
    <xf numFmtId="179" fontId="3" fillId="7" borderId="1" xfId="3" applyNumberFormat="1" applyFont="1" applyFill="1" applyBorder="1" applyAlignment="1">
      <alignment vertical="center"/>
    </xf>
    <xf numFmtId="0" fontId="3" fillId="7" borderId="1" xfId="3" applyFont="1" applyFill="1" applyBorder="1" applyAlignment="1"/>
    <xf numFmtId="178" fontId="3" fillId="0" borderId="21" xfId="3" applyNumberFormat="1" applyFont="1" applyFill="1" applyBorder="1" applyAlignment="1">
      <alignment horizontal="right" vertical="center"/>
    </xf>
    <xf numFmtId="0" fontId="3" fillId="3" borderId="1" xfId="3" applyFill="1" applyBorder="1" applyAlignment="1">
      <alignment vertical="center"/>
    </xf>
    <xf numFmtId="0" fontId="10" fillId="0" borderId="0" xfId="0" applyFont="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5" xfId="0" applyFont="1" applyFill="1" applyBorder="1">
      <alignment vertical="center"/>
    </xf>
    <xf numFmtId="0" fontId="10" fillId="0" borderId="0"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38" fontId="10" fillId="2" borderId="1" xfId="2" applyFont="1" applyFill="1" applyBorder="1">
      <alignment vertical="center"/>
    </xf>
    <xf numFmtId="0" fontId="10" fillId="0" borderId="0" xfId="0" applyFont="1" applyFill="1">
      <alignment vertical="center"/>
    </xf>
    <xf numFmtId="38" fontId="10" fillId="0" borderId="1" xfId="2" applyFont="1" applyBorder="1">
      <alignment vertical="center"/>
    </xf>
    <xf numFmtId="9" fontId="10" fillId="0" borderId="0" xfId="1" applyNumberFormat="1" applyFont="1" applyAlignment="1">
      <alignment horizontal="center" vertical="center"/>
    </xf>
    <xf numFmtId="38" fontId="11" fillId="0" borderId="1" xfId="2" applyFont="1" applyFill="1" applyBorder="1">
      <alignment vertical="center"/>
    </xf>
    <xf numFmtId="0" fontId="10" fillId="0" borderId="0" xfId="0" applyFont="1" applyBorder="1">
      <alignment vertical="center"/>
    </xf>
    <xf numFmtId="9" fontId="10" fillId="0" borderId="0" xfId="1" applyNumberFormat="1" applyFont="1">
      <alignment vertical="center"/>
    </xf>
    <xf numFmtId="0" fontId="12" fillId="0" borderId="0" xfId="0" applyFont="1">
      <alignment vertical="center"/>
    </xf>
    <xf numFmtId="0" fontId="10" fillId="2" borderId="1"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Border="1" applyAlignment="1">
      <alignment horizontal="right" vertical="center"/>
    </xf>
    <xf numFmtId="38" fontId="10" fillId="0" borderId="1" xfId="2" applyFont="1" applyFill="1" applyBorder="1">
      <alignment vertical="center"/>
    </xf>
    <xf numFmtId="0" fontId="10" fillId="0" borderId="0" xfId="0" applyFont="1" applyAlignment="1">
      <alignment horizontal="left" vertical="center"/>
    </xf>
    <xf numFmtId="0" fontId="12" fillId="0" borderId="0" xfId="0" applyFont="1" applyFill="1" applyBorder="1">
      <alignment vertical="center"/>
    </xf>
    <xf numFmtId="0" fontId="8" fillId="4" borderId="0" xfId="0" applyFont="1" applyFill="1" applyAlignment="1">
      <alignment vertical="center"/>
    </xf>
    <xf numFmtId="0" fontId="8" fillId="0" borderId="0" xfId="0" applyFont="1" applyFill="1" applyAlignment="1">
      <alignment vertical="center"/>
    </xf>
    <xf numFmtId="0" fontId="13" fillId="5" borderId="11" xfId="0" applyFont="1" applyFill="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3" fillId="5" borderId="12" xfId="0" applyFont="1" applyFill="1" applyBorder="1" applyAlignment="1">
      <alignment horizontal="center" vertical="center"/>
    </xf>
    <xf numFmtId="0" fontId="14" fillId="0" borderId="1" xfId="0" applyFont="1" applyBorder="1">
      <alignment vertical="center"/>
    </xf>
    <xf numFmtId="0" fontId="14" fillId="0" borderId="19" xfId="0" applyFont="1" applyBorder="1">
      <alignment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38" fontId="14" fillId="0" borderId="29" xfId="0" applyNumberFormat="1" applyFont="1" applyBorder="1">
      <alignment vertical="center"/>
    </xf>
    <xf numFmtId="38" fontId="14" fillId="0" borderId="28" xfId="2" applyFont="1" applyBorder="1">
      <alignment vertical="center"/>
    </xf>
    <xf numFmtId="38" fontId="14" fillId="0" borderId="30" xfId="0" applyNumberFormat="1" applyFont="1" applyBorder="1">
      <alignment vertical="center"/>
    </xf>
    <xf numFmtId="38" fontId="14" fillId="0" borderId="31" xfId="2" applyFont="1" applyBorder="1">
      <alignment vertical="center"/>
    </xf>
    <xf numFmtId="38" fontId="14" fillId="0" borderId="32" xfId="0" applyNumberFormat="1" applyFont="1" applyBorder="1">
      <alignment vertical="center"/>
    </xf>
    <xf numFmtId="38" fontId="14" fillId="0" borderId="33" xfId="2" applyFont="1" applyBorder="1">
      <alignment vertical="center"/>
    </xf>
    <xf numFmtId="0" fontId="13" fillId="5" borderId="16" xfId="0" applyFont="1" applyFill="1" applyBorder="1" applyAlignment="1">
      <alignment horizontal="center" vertical="center"/>
    </xf>
    <xf numFmtId="38" fontId="14" fillId="0" borderId="21" xfId="0" applyNumberFormat="1" applyFont="1" applyBorder="1">
      <alignment vertical="center"/>
    </xf>
    <xf numFmtId="38" fontId="14" fillId="0" borderId="25" xfId="2" applyFont="1" applyBorder="1">
      <alignment vertical="center"/>
    </xf>
    <xf numFmtId="0" fontId="13" fillId="5" borderId="15" xfId="0" applyFont="1" applyFill="1" applyBorder="1" applyAlignment="1">
      <alignment horizontal="center" vertical="center"/>
    </xf>
    <xf numFmtId="38" fontId="14" fillId="0" borderId="29" xfId="2" applyFont="1" applyBorder="1">
      <alignment vertical="center"/>
    </xf>
    <xf numFmtId="38" fontId="14" fillId="0" borderId="32" xfId="2" applyFont="1" applyBorder="1">
      <alignment vertical="center"/>
    </xf>
    <xf numFmtId="0" fontId="13" fillId="5" borderId="24" xfId="0" applyFont="1" applyFill="1" applyBorder="1" applyAlignment="1">
      <alignment horizontal="center" vertical="center"/>
    </xf>
    <xf numFmtId="38" fontId="14" fillId="0" borderId="26" xfId="2" applyFont="1" applyBorder="1">
      <alignment vertical="center"/>
    </xf>
    <xf numFmtId="38" fontId="14" fillId="0" borderId="27" xfId="2" applyFont="1" applyBorder="1">
      <alignment vertical="center"/>
    </xf>
    <xf numFmtId="0" fontId="13" fillId="5" borderId="22" xfId="0" applyFont="1" applyFill="1" applyBorder="1" applyAlignment="1">
      <alignment horizontal="center" vertical="center" wrapText="1"/>
    </xf>
    <xf numFmtId="38" fontId="14" fillId="0" borderId="23" xfId="2" applyFont="1" applyBorder="1">
      <alignment vertical="center"/>
    </xf>
    <xf numFmtId="0" fontId="15" fillId="0" borderId="0" xfId="0" applyFont="1">
      <alignment vertical="center"/>
    </xf>
    <xf numFmtId="38" fontId="15" fillId="3" borderId="1" xfId="2" applyFont="1" applyFill="1" applyBorder="1" applyAlignment="1">
      <alignment horizontal="center" vertical="center"/>
    </xf>
    <xf numFmtId="0" fontId="10" fillId="0" borderId="0" xfId="0" applyFont="1" applyAlignment="1">
      <alignment horizontal="center" vertical="center"/>
    </xf>
    <xf numFmtId="0" fontId="10" fillId="0" borderId="4" xfId="0" applyFont="1" applyBorder="1">
      <alignment vertical="center"/>
    </xf>
    <xf numFmtId="0" fontId="10" fillId="0" borderId="6" xfId="0" applyFont="1" applyBorder="1">
      <alignment vertical="center"/>
    </xf>
    <xf numFmtId="0" fontId="10" fillId="0" borderId="9" xfId="0" applyFont="1" applyBorder="1">
      <alignment vertical="center"/>
    </xf>
    <xf numFmtId="38" fontId="10" fillId="0" borderId="0" xfId="2" applyFont="1" applyFill="1" applyBorder="1" applyAlignment="1">
      <alignment horizontal="right" vertical="center" shrinkToFit="1"/>
    </xf>
    <xf numFmtId="38" fontId="0" fillId="0" borderId="0" xfId="2" applyFont="1">
      <alignment vertical="center"/>
    </xf>
    <xf numFmtId="38" fontId="10" fillId="0" borderId="1" xfId="2" applyFont="1" applyBorder="1" applyAlignment="1">
      <alignment horizontal="right" vertical="center"/>
    </xf>
    <xf numFmtId="0" fontId="3" fillId="0" borderId="0" xfId="3" applyFont="1" applyBorder="1" applyAlignment="1">
      <alignment vertical="center"/>
    </xf>
    <xf numFmtId="178" fontId="3" fillId="0" borderId="0" xfId="3" applyNumberFormat="1" applyFont="1" applyFill="1" applyBorder="1" applyAlignment="1">
      <alignment horizontal="right" vertical="center"/>
    </xf>
    <xf numFmtId="38" fontId="7" fillId="7" borderId="0" xfId="4" applyFont="1" applyFill="1" applyBorder="1" applyAlignment="1">
      <alignment horizontal="right" vertical="center"/>
    </xf>
    <xf numFmtId="0" fontId="3" fillId="7" borderId="0" xfId="3" applyFont="1" applyFill="1" applyBorder="1" applyAlignment="1"/>
    <xf numFmtId="179" fontId="3" fillId="0" borderId="0" xfId="3" applyNumberFormat="1" applyFont="1" applyBorder="1" applyAlignment="1">
      <alignment vertical="center"/>
    </xf>
    <xf numFmtId="38" fontId="7" fillId="0" borderId="0" xfId="4" applyFont="1" applyBorder="1" applyAlignment="1">
      <alignment horizontal="right" vertical="center" shrinkToFit="1"/>
    </xf>
    <xf numFmtId="0" fontId="3" fillId="0" borderId="0" xfId="3" applyFont="1" applyFill="1" applyBorder="1" applyAlignment="1"/>
    <xf numFmtId="181" fontId="3" fillId="0" borderId="1" xfId="2" applyNumberFormat="1" applyFont="1" applyFill="1" applyBorder="1" applyAlignment="1"/>
    <xf numFmtId="38" fontId="16" fillId="3" borderId="10" xfId="2" applyFont="1" applyFill="1" applyBorder="1">
      <alignment vertical="center"/>
    </xf>
    <xf numFmtId="38" fontId="10" fillId="0" borderId="0" xfId="2" applyFont="1" applyFill="1" applyBorder="1" applyAlignment="1">
      <alignment vertical="center"/>
    </xf>
    <xf numFmtId="0" fontId="10" fillId="0" borderId="0" xfId="0" applyFont="1" applyFill="1" applyBorder="1" applyAlignment="1" applyProtection="1">
      <alignment horizontal="center" vertical="center"/>
      <protection locked="0"/>
    </xf>
    <xf numFmtId="182" fontId="3" fillId="0" borderId="1" xfId="3" applyNumberFormat="1" applyBorder="1" applyAlignment="1"/>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0" xfId="0" quotePrefix="1" applyFont="1" applyAlignment="1">
      <alignment horizontal="center" vertical="center"/>
    </xf>
    <xf numFmtId="0" fontId="10" fillId="0" borderId="0" xfId="0" applyFont="1" applyAlignment="1">
      <alignment horizontal="center" vertical="center"/>
    </xf>
    <xf numFmtId="0" fontId="8" fillId="4" borderId="0" xfId="0" applyFont="1" applyFill="1" applyAlignment="1">
      <alignment vertical="center"/>
    </xf>
    <xf numFmtId="0" fontId="10" fillId="2" borderId="1" xfId="0" applyFont="1" applyFill="1" applyBorder="1" applyAlignment="1">
      <alignment horizontal="center" vertical="center" shrinkToFit="1"/>
    </xf>
    <xf numFmtId="0" fontId="3" fillId="0" borderId="0" xfId="3" applyFill="1" applyBorder="1" applyAlignment="1">
      <alignment horizontal="left"/>
    </xf>
  </cellXfs>
  <cellStyles count="6">
    <cellStyle name="パーセント" xfId="1" builtinId="5"/>
    <cellStyle name="パーセント 2" xfId="5"/>
    <cellStyle name="桁区切り" xfId="2" builtinId="6"/>
    <cellStyle name="桁区切り 2" xfId="4"/>
    <cellStyle name="標準" xfId="0" builtinId="0"/>
    <cellStyle name="標準 2" xfId="3"/>
  </cellStyles>
  <dxfs count="4">
    <dxf>
      <fill>
        <patternFill patternType="none">
          <bgColor auto="1"/>
        </patternFill>
      </fill>
    </dxf>
    <dxf>
      <fill>
        <patternFill patternType="none">
          <bgColor auto="1"/>
        </patternFill>
      </fill>
    </dxf>
    <dxf>
      <fill>
        <patternFill patternType="solid">
          <fgColor theme="0"/>
          <bgColor rgb="FFCCFFFF"/>
        </patternFill>
      </fill>
      <border>
        <left style="thin">
          <color auto="1"/>
        </left>
        <right style="thin">
          <color auto="1"/>
        </right>
        <top style="thin">
          <color auto="1"/>
        </top>
        <bottom style="thin">
          <color auto="1"/>
        </bottom>
        <vertical/>
        <horizontal/>
      </border>
    </dxf>
    <dxf>
      <fill>
        <patternFill patternType="solid">
          <fgColor theme="0"/>
          <bgColor rgb="FFCCFFFF"/>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66CCFF"/>
      <color rgb="FFFFFF99"/>
      <color rgb="FFFFFF00"/>
      <color rgb="FFCCFF99"/>
      <color rgb="FFFFCCFF"/>
      <color rgb="FF99FF99"/>
      <color rgb="FF66FFCC"/>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66676</xdr:colOff>
      <xdr:row>11</xdr:row>
      <xdr:rowOff>161925</xdr:rowOff>
    </xdr:from>
    <xdr:to>
      <xdr:col>1</xdr:col>
      <xdr:colOff>295275</xdr:colOff>
      <xdr:row>13</xdr:row>
      <xdr:rowOff>9525</xdr:rowOff>
    </xdr:to>
    <xdr:sp macro="" textlink="">
      <xdr:nvSpPr>
        <xdr:cNvPr id="3" name="角丸四角形 2"/>
        <xdr:cNvSpPr/>
      </xdr:nvSpPr>
      <xdr:spPr>
        <a:xfrm>
          <a:off x="66676" y="2886075"/>
          <a:ext cx="1362074" cy="3429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tlCol="0" anchor="t"/>
        <a:lstStyle/>
        <a:p>
          <a:pPr algn="l"/>
          <a:r>
            <a:rPr kumimoji="1" lang="en-US" altLang="ja-JP" sz="1800" b="0">
              <a:latin typeface="ＭＳ ゴシック" panose="020B0609070205080204" pitchFamily="49" charset="-128"/>
              <a:ea typeface="ＭＳ ゴシック" panose="020B0609070205080204" pitchFamily="49" charset="-128"/>
            </a:rPr>
            <a:t>【Step</a:t>
          </a:r>
          <a:r>
            <a:rPr kumimoji="1" lang="ja-JP" altLang="en-US" sz="1800" b="0">
              <a:latin typeface="ＭＳ ゴシック" panose="020B0609070205080204" pitchFamily="49" charset="-128"/>
              <a:ea typeface="ＭＳ ゴシック" panose="020B0609070205080204" pitchFamily="49" charset="-128"/>
            </a:rPr>
            <a:t>１</a:t>
          </a:r>
          <a:r>
            <a:rPr kumimoji="1" lang="en-US" altLang="ja-JP" sz="1800" b="0">
              <a:latin typeface="ＭＳ ゴシック" panose="020B0609070205080204" pitchFamily="49" charset="-128"/>
              <a:ea typeface="ＭＳ ゴシック" panose="020B0609070205080204" pitchFamily="49" charset="-128"/>
            </a:rPr>
            <a:t>】</a:t>
          </a:r>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20</xdr:row>
      <xdr:rowOff>123825</xdr:rowOff>
    </xdr:from>
    <xdr:to>
      <xdr:col>1</xdr:col>
      <xdr:colOff>295275</xdr:colOff>
      <xdr:row>22</xdr:row>
      <xdr:rowOff>57150</xdr:rowOff>
    </xdr:to>
    <xdr:sp macro="" textlink="">
      <xdr:nvSpPr>
        <xdr:cNvPr id="4" name="角丸四角形 3"/>
        <xdr:cNvSpPr/>
      </xdr:nvSpPr>
      <xdr:spPr>
        <a:xfrm>
          <a:off x="47625" y="4962525"/>
          <a:ext cx="1381125" cy="3429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tlCol="0" anchor="t"/>
        <a:lstStyle/>
        <a:p>
          <a:pPr algn="l"/>
          <a:r>
            <a:rPr kumimoji="1" lang="en-US" altLang="ja-JP" sz="1800" b="0">
              <a:latin typeface="ＭＳ ゴシック" panose="020B0609070205080204" pitchFamily="49" charset="-128"/>
              <a:ea typeface="ＭＳ ゴシック" panose="020B0609070205080204" pitchFamily="49" charset="-128"/>
            </a:rPr>
            <a:t>【Step</a:t>
          </a:r>
          <a:r>
            <a:rPr kumimoji="1" lang="ja-JP" altLang="en-US" sz="1800" b="0">
              <a:latin typeface="ＭＳ ゴシック" panose="020B0609070205080204" pitchFamily="49" charset="-128"/>
              <a:ea typeface="ＭＳ ゴシック" panose="020B0609070205080204" pitchFamily="49" charset="-128"/>
            </a:rPr>
            <a:t>２</a:t>
          </a:r>
          <a:r>
            <a:rPr kumimoji="1" lang="en-US" altLang="ja-JP" sz="1800" b="0">
              <a:latin typeface="ＭＳ ゴシック" panose="020B0609070205080204" pitchFamily="49" charset="-128"/>
              <a:ea typeface="ＭＳ ゴシック" panose="020B0609070205080204" pitchFamily="49" charset="-128"/>
            </a:rPr>
            <a:t>】</a:t>
          </a:r>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25</xdr:row>
      <xdr:rowOff>114300</xdr:rowOff>
    </xdr:from>
    <xdr:to>
      <xdr:col>1</xdr:col>
      <xdr:colOff>295275</xdr:colOff>
      <xdr:row>27</xdr:row>
      <xdr:rowOff>47625</xdr:rowOff>
    </xdr:to>
    <xdr:sp macro="" textlink="">
      <xdr:nvSpPr>
        <xdr:cNvPr id="5" name="角丸四角形 4"/>
        <xdr:cNvSpPr/>
      </xdr:nvSpPr>
      <xdr:spPr>
        <a:xfrm>
          <a:off x="47625" y="6029325"/>
          <a:ext cx="1381125"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tlCol="0" anchor="t"/>
        <a:lstStyle/>
        <a:p>
          <a:pPr algn="l"/>
          <a:r>
            <a:rPr kumimoji="1" lang="en-US" altLang="ja-JP" sz="1800" b="0">
              <a:latin typeface="ＭＳ ゴシック" panose="020B0609070205080204" pitchFamily="49" charset="-128"/>
              <a:ea typeface="ＭＳ ゴシック" panose="020B0609070205080204" pitchFamily="49" charset="-128"/>
            </a:rPr>
            <a:t>【Step</a:t>
          </a:r>
          <a:r>
            <a:rPr kumimoji="1" lang="ja-JP" altLang="en-US" sz="1800" b="0">
              <a:latin typeface="ＭＳ ゴシック" panose="020B0609070205080204" pitchFamily="49" charset="-128"/>
              <a:ea typeface="ＭＳ ゴシック" panose="020B0609070205080204" pitchFamily="49" charset="-128"/>
            </a:rPr>
            <a:t>３</a:t>
          </a:r>
          <a:r>
            <a:rPr kumimoji="1" lang="en-US" altLang="ja-JP" sz="1800" b="0">
              <a:latin typeface="ＭＳ ゴシック" panose="020B0609070205080204" pitchFamily="49" charset="-128"/>
              <a:ea typeface="ＭＳ ゴシック" panose="020B0609070205080204" pitchFamily="49" charset="-128"/>
            </a:rPr>
            <a:t>】</a:t>
          </a:r>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37</xdr:row>
      <xdr:rowOff>142875</xdr:rowOff>
    </xdr:from>
    <xdr:to>
      <xdr:col>1</xdr:col>
      <xdr:colOff>304800</xdr:colOff>
      <xdr:row>38</xdr:row>
      <xdr:rowOff>314324</xdr:rowOff>
    </xdr:to>
    <xdr:sp macro="" textlink="">
      <xdr:nvSpPr>
        <xdr:cNvPr id="6" name="角丸四角形 5"/>
        <xdr:cNvSpPr/>
      </xdr:nvSpPr>
      <xdr:spPr>
        <a:xfrm>
          <a:off x="57150" y="8715375"/>
          <a:ext cx="1381125" cy="34289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tlCol="0" anchor="t"/>
        <a:lstStyle/>
        <a:p>
          <a:pPr algn="l"/>
          <a:r>
            <a:rPr kumimoji="1" lang="en-US" altLang="ja-JP" sz="1800" b="0">
              <a:latin typeface="ＭＳ ゴシック" panose="020B0609070205080204" pitchFamily="49" charset="-128"/>
              <a:ea typeface="ＭＳ ゴシック" panose="020B0609070205080204" pitchFamily="49" charset="-128"/>
            </a:rPr>
            <a:t>【Step</a:t>
          </a:r>
          <a:r>
            <a:rPr kumimoji="1" lang="ja-JP" altLang="en-US" sz="1800" b="0">
              <a:latin typeface="ＭＳ ゴシック" panose="020B0609070205080204" pitchFamily="49" charset="-128"/>
              <a:ea typeface="ＭＳ ゴシック" panose="020B0609070205080204" pitchFamily="49" charset="-128"/>
            </a:rPr>
            <a:t>４</a:t>
          </a:r>
          <a:r>
            <a:rPr kumimoji="1" lang="en-US" altLang="ja-JP" sz="1800" b="0">
              <a:latin typeface="ＭＳ ゴシック" panose="020B0609070205080204" pitchFamily="49" charset="-128"/>
              <a:ea typeface="ＭＳ ゴシック" panose="020B0609070205080204" pitchFamily="49" charset="-128"/>
            </a:rPr>
            <a:t>】</a:t>
          </a:r>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295272</xdr:colOff>
      <xdr:row>50</xdr:row>
      <xdr:rowOff>9522</xdr:rowOff>
    </xdr:from>
    <xdr:to>
      <xdr:col>6</xdr:col>
      <xdr:colOff>301622</xdr:colOff>
      <xdr:row>50</xdr:row>
      <xdr:rowOff>314324</xdr:rowOff>
    </xdr:to>
    <xdr:sp macro="" textlink="">
      <xdr:nvSpPr>
        <xdr:cNvPr id="7" name="右矢印 6"/>
        <xdr:cNvSpPr/>
      </xdr:nvSpPr>
      <xdr:spPr>
        <a:xfrm rot="10800000">
          <a:off x="3905247" y="11163297"/>
          <a:ext cx="339725" cy="30480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415923</xdr:colOff>
      <xdr:row>46</xdr:row>
      <xdr:rowOff>228600</xdr:rowOff>
    </xdr:from>
    <xdr:to>
      <xdr:col>12</xdr:col>
      <xdr:colOff>76200</xdr:colOff>
      <xdr:row>51</xdr:row>
      <xdr:rowOff>234950</xdr:rowOff>
    </xdr:to>
    <xdr:sp macro="" textlink="">
      <xdr:nvSpPr>
        <xdr:cNvPr id="8" name="角丸四角形 7"/>
        <xdr:cNvSpPr/>
      </xdr:nvSpPr>
      <xdr:spPr>
        <a:xfrm>
          <a:off x="4016373" y="8743950"/>
          <a:ext cx="3203577" cy="844550"/>
        </a:xfrm>
        <a:prstGeom prst="roundRect">
          <a:avLst/>
        </a:prstGeom>
        <a:solidFill>
          <a:srgbClr val="CCFFFF"/>
        </a:solidFill>
        <a:ln w="25400">
          <a:solidFill>
            <a:srgbClr val="66CC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あなたに</a:t>
          </a:r>
          <a:r>
            <a:rPr kumimoji="1" lang="en-US" altLang="ja-JP" sz="1100">
              <a:latin typeface="HG丸ｺﾞｼｯｸM-PRO" panose="020F0600000000000000" pitchFamily="50" charset="-128"/>
              <a:ea typeface="HG丸ｺﾞｼｯｸM-PRO" panose="020F0600000000000000" pitchFamily="50" charset="-128"/>
            </a:rPr>
            <a:t>60</a:t>
          </a:r>
          <a:r>
            <a:rPr kumimoji="1" lang="ja-JP" altLang="en-US" sz="1100">
              <a:latin typeface="HG丸ｺﾞｼｯｸM-PRO" panose="020F0600000000000000" pitchFamily="50" charset="-128"/>
              <a:ea typeface="HG丸ｺﾞｼｯｸM-PRO" panose="020F0600000000000000" pitchFamily="50" charset="-128"/>
            </a:rPr>
            <a:t>歳に達した日後における最初の４月１日以後、支給される給与の合計額です。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基本的な算出方法の場合となります。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47625</xdr:colOff>
      <xdr:row>54</xdr:row>
      <xdr:rowOff>133350</xdr:rowOff>
    </xdr:from>
    <xdr:to>
      <xdr:col>2</xdr:col>
      <xdr:colOff>66675</xdr:colOff>
      <xdr:row>56</xdr:row>
      <xdr:rowOff>66675</xdr:rowOff>
    </xdr:to>
    <xdr:sp macro="" textlink="">
      <xdr:nvSpPr>
        <xdr:cNvPr id="9" name="角丸四角形 8"/>
        <xdr:cNvSpPr/>
      </xdr:nvSpPr>
      <xdr:spPr>
        <a:xfrm>
          <a:off x="47625" y="9544050"/>
          <a:ext cx="1390650" cy="40957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tlCol="0" anchor="t"/>
        <a:lstStyle/>
        <a:p>
          <a:pPr algn="l"/>
          <a:r>
            <a:rPr kumimoji="1" lang="en-US" altLang="ja-JP" sz="1800" b="0">
              <a:latin typeface="ＭＳ ゴシック" panose="020B0609070205080204" pitchFamily="49" charset="-128"/>
              <a:ea typeface="ＭＳ ゴシック" panose="020B0609070205080204" pitchFamily="49" charset="-128"/>
            </a:rPr>
            <a:t>【Step</a:t>
          </a:r>
          <a:r>
            <a:rPr kumimoji="1" lang="ja-JP" altLang="en-US" sz="1800" b="0">
              <a:latin typeface="ＭＳ ゴシック" panose="020B0609070205080204" pitchFamily="49" charset="-128"/>
              <a:ea typeface="ＭＳ ゴシック" panose="020B0609070205080204" pitchFamily="49" charset="-128"/>
            </a:rPr>
            <a:t>５</a:t>
          </a:r>
          <a:r>
            <a:rPr kumimoji="1" lang="en-US" altLang="ja-JP" sz="1800" b="0">
              <a:latin typeface="ＭＳ ゴシック" panose="020B0609070205080204" pitchFamily="49" charset="-128"/>
              <a:ea typeface="ＭＳ ゴシック" panose="020B0609070205080204" pitchFamily="49" charset="-128"/>
            </a:rPr>
            <a:t>】</a:t>
          </a:r>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390525</xdr:colOff>
      <xdr:row>14</xdr:row>
      <xdr:rowOff>66675</xdr:rowOff>
    </xdr:from>
    <xdr:to>
      <xdr:col>3</xdr:col>
      <xdr:colOff>314325</xdr:colOff>
      <xdr:row>14</xdr:row>
      <xdr:rowOff>266700</xdr:rowOff>
    </xdr:to>
    <xdr:sp macro="" textlink="">
      <xdr:nvSpPr>
        <xdr:cNvPr id="10" name="右矢印 9"/>
        <xdr:cNvSpPr/>
      </xdr:nvSpPr>
      <xdr:spPr>
        <a:xfrm>
          <a:off x="1895475" y="3457575"/>
          <a:ext cx="7143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400050</xdr:colOff>
      <xdr:row>16</xdr:row>
      <xdr:rowOff>76200</xdr:rowOff>
    </xdr:from>
    <xdr:to>
      <xdr:col>3</xdr:col>
      <xdr:colOff>323850</xdr:colOff>
      <xdr:row>16</xdr:row>
      <xdr:rowOff>276225</xdr:rowOff>
    </xdr:to>
    <xdr:sp macro="" textlink="">
      <xdr:nvSpPr>
        <xdr:cNvPr id="11" name="右矢印 10"/>
        <xdr:cNvSpPr/>
      </xdr:nvSpPr>
      <xdr:spPr>
        <a:xfrm>
          <a:off x="1905000" y="3867150"/>
          <a:ext cx="7143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704850</xdr:colOff>
      <xdr:row>19</xdr:row>
      <xdr:rowOff>76200</xdr:rowOff>
    </xdr:from>
    <xdr:to>
      <xdr:col>3</xdr:col>
      <xdr:colOff>323850</xdr:colOff>
      <xdr:row>19</xdr:row>
      <xdr:rowOff>276225</xdr:rowOff>
    </xdr:to>
    <xdr:sp macro="" textlink="">
      <xdr:nvSpPr>
        <xdr:cNvPr id="12" name="右矢印 11"/>
        <xdr:cNvSpPr/>
      </xdr:nvSpPr>
      <xdr:spPr>
        <a:xfrm>
          <a:off x="2209800" y="4591050"/>
          <a:ext cx="4095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409575</xdr:colOff>
      <xdr:row>28</xdr:row>
      <xdr:rowOff>28575</xdr:rowOff>
    </xdr:from>
    <xdr:to>
      <xdr:col>8</xdr:col>
      <xdr:colOff>152400</xdr:colOff>
      <xdr:row>28</xdr:row>
      <xdr:rowOff>285750</xdr:rowOff>
    </xdr:to>
    <xdr:sp macro="" textlink="">
      <xdr:nvSpPr>
        <xdr:cNvPr id="13" name="右矢印 12"/>
        <xdr:cNvSpPr/>
      </xdr:nvSpPr>
      <xdr:spPr>
        <a:xfrm>
          <a:off x="3152775" y="6505575"/>
          <a:ext cx="241935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409575</xdr:colOff>
      <xdr:row>31</xdr:row>
      <xdr:rowOff>38100</xdr:rowOff>
    </xdr:from>
    <xdr:to>
      <xdr:col>8</xdr:col>
      <xdr:colOff>152400</xdr:colOff>
      <xdr:row>31</xdr:row>
      <xdr:rowOff>304800</xdr:rowOff>
    </xdr:to>
    <xdr:sp macro="" textlink="">
      <xdr:nvSpPr>
        <xdr:cNvPr id="14" name="右矢印 13"/>
        <xdr:cNvSpPr/>
      </xdr:nvSpPr>
      <xdr:spPr>
        <a:xfrm>
          <a:off x="3152775" y="7239000"/>
          <a:ext cx="24193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34</xdr:row>
      <xdr:rowOff>19050</xdr:rowOff>
    </xdr:from>
    <xdr:to>
      <xdr:col>8</xdr:col>
      <xdr:colOff>152400</xdr:colOff>
      <xdr:row>34</xdr:row>
      <xdr:rowOff>285750</xdr:rowOff>
    </xdr:to>
    <xdr:sp macro="" textlink="">
      <xdr:nvSpPr>
        <xdr:cNvPr id="15" name="右矢印 14"/>
        <xdr:cNvSpPr/>
      </xdr:nvSpPr>
      <xdr:spPr>
        <a:xfrm>
          <a:off x="3952875" y="7943850"/>
          <a:ext cx="16192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59</xdr:row>
      <xdr:rowOff>28574</xdr:rowOff>
    </xdr:from>
    <xdr:to>
      <xdr:col>8</xdr:col>
      <xdr:colOff>238125</xdr:colOff>
      <xdr:row>60</xdr:row>
      <xdr:rowOff>9524</xdr:rowOff>
    </xdr:to>
    <xdr:sp macro="" textlink="">
      <xdr:nvSpPr>
        <xdr:cNvPr id="16" name="右矢印 15"/>
        <xdr:cNvSpPr/>
      </xdr:nvSpPr>
      <xdr:spPr>
        <a:xfrm>
          <a:off x="4829175" y="10801349"/>
          <a:ext cx="82867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457200</xdr:colOff>
      <xdr:row>65</xdr:row>
      <xdr:rowOff>19050</xdr:rowOff>
    </xdr:from>
    <xdr:to>
      <xdr:col>3</xdr:col>
      <xdr:colOff>304800</xdr:colOff>
      <xdr:row>65</xdr:row>
      <xdr:rowOff>228600</xdr:rowOff>
    </xdr:to>
    <xdr:sp macro="" textlink="">
      <xdr:nvSpPr>
        <xdr:cNvPr id="17" name="右矢印 16"/>
        <xdr:cNvSpPr/>
      </xdr:nvSpPr>
      <xdr:spPr>
        <a:xfrm>
          <a:off x="1962150" y="11830050"/>
          <a:ext cx="638175"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154748</xdr:colOff>
      <xdr:row>10</xdr:row>
      <xdr:rowOff>19051</xdr:rowOff>
    </xdr:from>
    <xdr:to>
      <xdr:col>23</xdr:col>
      <xdr:colOff>19126</xdr:colOff>
      <xdr:row>24</xdr:row>
      <xdr:rowOff>76200</xdr:rowOff>
    </xdr:to>
    <xdr:pic>
      <xdr:nvPicPr>
        <xdr:cNvPr id="2" name="図 1"/>
        <xdr:cNvPicPr>
          <a:picLocks noChangeAspect="1"/>
        </xdr:cNvPicPr>
      </xdr:nvPicPr>
      <xdr:blipFill>
        <a:blip xmlns:r="http://schemas.openxmlformats.org/officeDocument/2006/relationships" r:embed="rId1"/>
        <a:stretch>
          <a:fillRect/>
        </a:stretch>
      </xdr:blipFill>
      <xdr:spPr>
        <a:xfrm>
          <a:off x="8574848" y="2085976"/>
          <a:ext cx="6722378" cy="34004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100"/>
        </a:defPPr>
      </a:lstStyle>
      <a:style>
        <a:lnRef idx="1">
          <a:schemeClr val="accent1"/>
        </a:lnRef>
        <a:fillRef idx="2">
          <a:schemeClr val="accent1"/>
        </a:fillRef>
        <a:effectRef idx="1">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abSelected="1" zoomScaleNormal="100" workbookViewId="0">
      <selection activeCell="K21" sqref="K21"/>
    </sheetView>
  </sheetViews>
  <sheetFormatPr defaultRowHeight="13.5" x14ac:dyDescent="0.4"/>
  <cols>
    <col min="1" max="1" width="14.875" style="38" customWidth="1"/>
    <col min="2" max="2" width="4.875" style="38" customWidth="1"/>
    <col min="3" max="3" width="10.375" style="38" bestFit="1" customWidth="1"/>
    <col min="4" max="4" width="5.875" style="38" customWidth="1"/>
    <col min="5" max="5" width="12.375" style="38" bestFit="1" customWidth="1"/>
    <col min="6" max="6" width="4.375" style="38" customWidth="1"/>
    <col min="7" max="7" width="10.375" style="38" bestFit="1" customWidth="1"/>
    <col min="8" max="8" width="9" style="38"/>
    <col min="9" max="9" width="4.25" style="38" customWidth="1"/>
    <col min="10" max="10" width="10.375" style="38" bestFit="1" customWidth="1"/>
    <col min="11" max="11" width="5.25" style="38" customWidth="1"/>
    <col min="12" max="12" width="15.75" style="38" customWidth="1"/>
    <col min="13" max="13" width="3.625" style="38" bestFit="1" customWidth="1"/>
    <col min="14" max="16384" width="9" style="38"/>
  </cols>
  <sheetData>
    <row r="1" spans="1:13" ht="25.5" x14ac:dyDescent="0.4">
      <c r="A1" s="116" t="s">
        <v>136</v>
      </c>
      <c r="B1" s="116"/>
      <c r="C1" s="116"/>
      <c r="D1" s="116"/>
      <c r="E1" s="116"/>
      <c r="F1" s="116"/>
      <c r="G1" s="116"/>
      <c r="H1" s="116"/>
      <c r="I1" s="116"/>
      <c r="J1" s="116"/>
      <c r="K1" s="116"/>
      <c r="L1" s="116"/>
      <c r="M1" s="116"/>
    </row>
    <row r="2" spans="1:13" ht="27" customHeight="1" thickBot="1" x14ac:dyDescent="0.45"/>
    <row r="3" spans="1:13" ht="23.25" customHeight="1" x14ac:dyDescent="0.4">
      <c r="A3" s="39" t="s">
        <v>137</v>
      </c>
      <c r="B3" s="40"/>
      <c r="C3" s="40"/>
      <c r="D3" s="40"/>
      <c r="E3" s="40"/>
      <c r="F3" s="40"/>
      <c r="G3" s="40"/>
      <c r="H3" s="40"/>
      <c r="I3" s="40"/>
      <c r="J3" s="40"/>
      <c r="K3" s="40"/>
      <c r="L3" s="40"/>
      <c r="M3" s="91"/>
    </row>
    <row r="4" spans="1:13" ht="23.25" customHeight="1" x14ac:dyDescent="0.4">
      <c r="A4" s="41" t="s">
        <v>11</v>
      </c>
      <c r="B4" s="42"/>
      <c r="C4" s="42"/>
      <c r="D4" s="42"/>
      <c r="E4" s="42"/>
      <c r="F4" s="42"/>
      <c r="G4" s="42"/>
      <c r="H4" s="42"/>
      <c r="I4" s="42"/>
      <c r="J4" s="42"/>
      <c r="K4" s="42"/>
      <c r="L4" s="42"/>
      <c r="M4" s="92"/>
    </row>
    <row r="5" spans="1:13" ht="23.25" customHeight="1" x14ac:dyDescent="0.4">
      <c r="A5" s="41" t="s">
        <v>12</v>
      </c>
      <c r="B5" s="109"/>
      <c r="C5" s="110"/>
      <c r="D5" s="42" t="s">
        <v>139</v>
      </c>
      <c r="E5" s="42"/>
      <c r="F5" s="42"/>
      <c r="G5" s="42"/>
      <c r="H5" s="42"/>
      <c r="I5" s="42"/>
      <c r="J5" s="42"/>
      <c r="K5" s="42"/>
      <c r="L5" s="42"/>
      <c r="M5" s="92"/>
    </row>
    <row r="6" spans="1:13" ht="23.25" customHeight="1" x14ac:dyDescent="0.4">
      <c r="A6" s="41" t="s">
        <v>143</v>
      </c>
      <c r="B6" s="56"/>
      <c r="C6" s="56"/>
      <c r="D6" s="42"/>
      <c r="E6" s="42"/>
      <c r="F6" s="42"/>
      <c r="G6" s="42"/>
      <c r="H6" s="42"/>
      <c r="I6" s="42"/>
      <c r="J6" s="42"/>
      <c r="K6" s="42"/>
      <c r="L6" s="42"/>
      <c r="M6" s="92"/>
    </row>
    <row r="7" spans="1:13" ht="23.25" customHeight="1" x14ac:dyDescent="0.4">
      <c r="A7" s="41" t="s">
        <v>138</v>
      </c>
      <c r="B7" s="56"/>
      <c r="C7" s="56"/>
      <c r="D7" s="42"/>
      <c r="E7" s="42"/>
      <c r="F7" s="42"/>
      <c r="G7" s="42"/>
      <c r="H7" s="42"/>
      <c r="I7" s="42"/>
      <c r="J7" s="42"/>
      <c r="K7" s="42"/>
      <c r="L7" s="42"/>
      <c r="M7" s="92"/>
    </row>
    <row r="8" spans="1:13" ht="18.75" hidden="1" customHeight="1" x14ac:dyDescent="0.4">
      <c r="A8" s="41"/>
      <c r="B8" s="56"/>
      <c r="C8" s="56"/>
      <c r="D8" s="42"/>
      <c r="E8" s="42"/>
      <c r="F8" s="42"/>
      <c r="G8" s="42"/>
      <c r="H8" s="42"/>
      <c r="I8" s="42"/>
      <c r="J8" s="42"/>
      <c r="K8" s="42"/>
      <c r="L8" s="42"/>
      <c r="M8" s="92"/>
    </row>
    <row r="9" spans="1:13" ht="6.75" customHeight="1" thickBot="1" x14ac:dyDescent="0.45">
      <c r="A9" s="43"/>
      <c r="B9" s="44"/>
      <c r="C9" s="44"/>
      <c r="D9" s="44"/>
      <c r="E9" s="44"/>
      <c r="F9" s="44"/>
      <c r="G9" s="44"/>
      <c r="H9" s="44"/>
      <c r="I9" s="44"/>
      <c r="J9" s="44"/>
      <c r="K9" s="44"/>
      <c r="L9" s="44"/>
      <c r="M9" s="93"/>
    </row>
    <row r="11" spans="1:13" ht="25.5" customHeight="1" x14ac:dyDescent="0.4">
      <c r="A11" s="38" t="s">
        <v>13</v>
      </c>
    </row>
    <row r="13" spans="1:13" ht="25.5" customHeight="1" x14ac:dyDescent="0.4">
      <c r="C13" s="38" t="s">
        <v>14</v>
      </c>
    </row>
    <row r="15" spans="1:13" ht="25.5" customHeight="1" x14ac:dyDescent="0.4">
      <c r="A15" s="38" t="s">
        <v>109</v>
      </c>
      <c r="E15" s="117"/>
      <c r="F15" s="117"/>
    </row>
    <row r="16" spans="1:13" ht="6" customHeight="1" x14ac:dyDescent="0.4"/>
    <row r="17" spans="1:12" ht="25.5" customHeight="1" x14ac:dyDescent="0.4">
      <c r="A17" s="38" t="s">
        <v>110</v>
      </c>
      <c r="E17" s="117"/>
      <c r="F17" s="117"/>
    </row>
    <row r="18" spans="1:12" ht="6" customHeight="1" x14ac:dyDescent="0.4">
      <c r="C18" s="42"/>
    </row>
    <row r="19" spans="1:12" ht="25.5" customHeight="1" x14ac:dyDescent="0.4">
      <c r="A19" s="38" t="s">
        <v>130</v>
      </c>
    </row>
    <row r="20" spans="1:12" ht="25.5" customHeight="1" x14ac:dyDescent="0.4">
      <c r="A20" s="38" t="s">
        <v>111</v>
      </c>
      <c r="E20" s="45"/>
      <c r="F20" s="38" t="s">
        <v>144</v>
      </c>
    </row>
    <row r="21" spans="1:12" x14ac:dyDescent="0.4">
      <c r="C21" s="46"/>
    </row>
    <row r="22" spans="1:12" ht="18.75" customHeight="1" x14ac:dyDescent="0.4">
      <c r="C22" s="38" t="s">
        <v>4</v>
      </c>
    </row>
    <row r="24" spans="1:12" ht="25.5" customHeight="1" x14ac:dyDescent="0.4">
      <c r="A24" s="38" t="s">
        <v>1</v>
      </c>
      <c r="C24" s="47">
        <f>E20</f>
        <v>0</v>
      </c>
      <c r="D24" s="38" t="s">
        <v>2</v>
      </c>
      <c r="E24" s="48">
        <v>0.7</v>
      </c>
      <c r="F24" s="38" t="s">
        <v>3</v>
      </c>
      <c r="G24" s="49">
        <f>ROUNDDOWN(C24*0.7,0)</f>
        <v>0</v>
      </c>
      <c r="H24" s="38" t="s">
        <v>145</v>
      </c>
    </row>
    <row r="25" spans="1:12" x14ac:dyDescent="0.4">
      <c r="C25" s="50"/>
      <c r="E25" s="51"/>
      <c r="G25" s="52" t="s">
        <v>131</v>
      </c>
    </row>
    <row r="27" spans="1:12" ht="17.25" customHeight="1" x14ac:dyDescent="0.4">
      <c r="C27" s="38" t="s">
        <v>117</v>
      </c>
    </row>
    <row r="29" spans="1:12" ht="25.5" customHeight="1" x14ac:dyDescent="0.4">
      <c r="A29" s="38" t="s">
        <v>140</v>
      </c>
      <c r="J29" s="53"/>
      <c r="K29" s="54" t="str">
        <f>IF(J29=1,"校種","")</f>
        <v/>
      </c>
      <c r="L29" s="55"/>
    </row>
    <row r="30" spans="1:12" ht="25.5" customHeight="1" x14ac:dyDescent="0.4">
      <c r="A30" s="38" t="s">
        <v>146</v>
      </c>
      <c r="J30" s="56"/>
      <c r="K30" s="57"/>
      <c r="L30" s="42"/>
    </row>
    <row r="31" spans="1:12" ht="6" customHeight="1" x14ac:dyDescent="0.4">
      <c r="J31" s="42"/>
    </row>
    <row r="32" spans="1:12" ht="25.5" customHeight="1" x14ac:dyDescent="0.4">
      <c r="A32" s="38" t="s">
        <v>141</v>
      </c>
      <c r="J32" s="53"/>
    </row>
    <row r="33" spans="1:13" ht="25.5" customHeight="1" x14ac:dyDescent="0.4">
      <c r="A33" s="38" t="s">
        <v>125</v>
      </c>
      <c r="J33" s="56"/>
    </row>
    <row r="34" spans="1:13" ht="6" customHeight="1" x14ac:dyDescent="0.4"/>
    <row r="35" spans="1:13" ht="25.5" customHeight="1" x14ac:dyDescent="0.4">
      <c r="A35" s="38" t="s">
        <v>142</v>
      </c>
      <c r="J35" s="53"/>
      <c r="K35" s="54" t="str">
        <f>IF(J35=1,"月額","")</f>
        <v/>
      </c>
      <c r="L35" s="94"/>
      <c r="M35" s="38" t="str">
        <f>IF(J35=1,"円","")</f>
        <v/>
      </c>
    </row>
    <row r="36" spans="1:13" ht="17.25" customHeight="1" x14ac:dyDescent="0.4">
      <c r="A36" s="38" t="s">
        <v>150</v>
      </c>
      <c r="J36" s="107"/>
      <c r="K36" s="54"/>
    </row>
    <row r="37" spans="1:13" ht="17.25" customHeight="1" x14ac:dyDescent="0.4">
      <c r="A37" s="38" t="s">
        <v>151</v>
      </c>
    </row>
    <row r="39" spans="1:13" ht="25.5" customHeight="1" x14ac:dyDescent="0.4">
      <c r="C39" s="38" t="s">
        <v>5</v>
      </c>
    </row>
    <row r="40" spans="1:13" ht="14.25" customHeight="1" x14ac:dyDescent="0.4"/>
    <row r="41" spans="1:13" ht="25.5" customHeight="1" x14ac:dyDescent="0.4">
      <c r="A41" s="38" t="s">
        <v>6</v>
      </c>
      <c r="D41" s="54" t="s">
        <v>129</v>
      </c>
      <c r="E41" s="58">
        <f>G24</f>
        <v>0</v>
      </c>
      <c r="F41" s="38" t="s">
        <v>0</v>
      </c>
    </row>
    <row r="42" spans="1:13" ht="4.5" customHeight="1" x14ac:dyDescent="0.4">
      <c r="E42" s="42"/>
    </row>
    <row r="43" spans="1:13" ht="25.5" customHeight="1" x14ac:dyDescent="0.4">
      <c r="A43" s="38" t="s">
        <v>7</v>
      </c>
      <c r="D43" s="54"/>
      <c r="E43" s="47">
        <f>IF(J29=1,IF(L29="",0,ROUND(VLOOKUP(L29,リスト!G:H,2,FALSE)*0.7,-2)),0)</f>
        <v>0</v>
      </c>
      <c r="F43" s="38" t="s">
        <v>0</v>
      </c>
    </row>
    <row r="44" spans="1:13" ht="4.5" customHeight="1" x14ac:dyDescent="0.4"/>
    <row r="45" spans="1:13" ht="25.5" customHeight="1" x14ac:dyDescent="0.4">
      <c r="A45" s="38" t="s">
        <v>8</v>
      </c>
      <c r="D45" s="54"/>
      <c r="E45" s="47">
        <f>IF(J32=1,ROUNDDOWN(E41*0.05,0),0)</f>
        <v>0</v>
      </c>
      <c r="F45" s="38" t="s">
        <v>0</v>
      </c>
    </row>
    <row r="46" spans="1:13" ht="4.5" customHeight="1" x14ac:dyDescent="0.4"/>
    <row r="47" spans="1:13" ht="25.5" customHeight="1" x14ac:dyDescent="0.4">
      <c r="A47" s="38" t="s">
        <v>9</v>
      </c>
      <c r="E47" s="47">
        <f>ROUNDDOWN((E41+E43+E45)*0.05,0)</f>
        <v>0</v>
      </c>
      <c r="F47" s="38" t="s">
        <v>0</v>
      </c>
    </row>
    <row r="48" spans="1:13" ht="4.5" customHeight="1" x14ac:dyDescent="0.4"/>
    <row r="49" spans="1:13" ht="25.5" customHeight="1" x14ac:dyDescent="0.4">
      <c r="A49" s="38" t="s">
        <v>10</v>
      </c>
      <c r="E49" s="47">
        <f>IF(J35="",0,IF(J35=1,ROUND(L35*0.7,-2),0))</f>
        <v>0</v>
      </c>
      <c r="F49" s="38" t="s">
        <v>0</v>
      </c>
    </row>
    <row r="50" spans="1:13" ht="4.5" customHeight="1" thickBot="1" x14ac:dyDescent="0.45"/>
    <row r="51" spans="1:13" ht="28.5" customHeight="1" thickBot="1" x14ac:dyDescent="0.45">
      <c r="E51" s="105">
        <f>E41+E43+E45+E47+E49</f>
        <v>0</v>
      </c>
      <c r="F51" s="38" t="s">
        <v>0</v>
      </c>
    </row>
    <row r="52" spans="1:13" x14ac:dyDescent="0.4">
      <c r="I52" s="46"/>
    </row>
    <row r="53" spans="1:13" x14ac:dyDescent="0.4">
      <c r="I53" s="46"/>
    </row>
    <row r="54" spans="1:13" ht="18.75" hidden="1" customHeight="1" x14ac:dyDescent="0.4">
      <c r="A54" s="114" t="s">
        <v>108</v>
      </c>
      <c r="B54" s="115"/>
      <c r="C54" s="115"/>
      <c r="D54" s="115"/>
      <c r="E54" s="115"/>
      <c r="F54" s="115"/>
      <c r="G54" s="115"/>
      <c r="H54" s="115"/>
      <c r="I54" s="115"/>
      <c r="J54" s="115"/>
      <c r="K54" s="115"/>
      <c r="L54" s="115"/>
      <c r="M54" s="115"/>
    </row>
    <row r="55" spans="1:13" hidden="1" x14ac:dyDescent="0.4"/>
    <row r="56" spans="1:13" ht="18.75" hidden="1" customHeight="1" x14ac:dyDescent="0.4">
      <c r="C56" s="38" t="s">
        <v>107</v>
      </c>
    </row>
    <row r="57" spans="1:13" ht="14.25" hidden="1" thickBot="1" x14ac:dyDescent="0.45"/>
    <row r="58" spans="1:13" s="59" customFormat="1" ht="63" hidden="1" customHeight="1" thickBot="1" x14ac:dyDescent="0.45">
      <c r="A58" s="111" t="s">
        <v>106</v>
      </c>
      <c r="B58" s="112"/>
      <c r="C58" s="112"/>
      <c r="D58" s="112"/>
      <c r="E58" s="112"/>
      <c r="F58" s="112"/>
      <c r="G58" s="112"/>
      <c r="H58" s="112"/>
      <c r="I58" s="112"/>
      <c r="J58" s="112"/>
      <c r="K58" s="112"/>
      <c r="L58" s="112"/>
      <c r="M58" s="113"/>
    </row>
    <row r="59" spans="1:13" ht="9.75" hidden="1" customHeight="1" x14ac:dyDescent="0.4"/>
    <row r="60" spans="1:13" ht="18.75" hidden="1" customHeight="1" x14ac:dyDescent="0.4">
      <c r="A60" s="38" t="s">
        <v>112</v>
      </c>
      <c r="J60" s="45"/>
      <c r="K60" s="38" t="s">
        <v>32</v>
      </c>
    </row>
    <row r="61" spans="1:13" ht="5.25" hidden="1" customHeight="1" x14ac:dyDescent="0.4"/>
    <row r="62" spans="1:13" ht="18.75" hidden="1" customHeight="1" x14ac:dyDescent="0.4">
      <c r="A62" s="38" t="s">
        <v>30</v>
      </c>
      <c r="C62" s="47">
        <f>J60</f>
        <v>0</v>
      </c>
      <c r="D62" s="90" t="s">
        <v>2</v>
      </c>
      <c r="E62" s="48">
        <v>0.7</v>
      </c>
      <c r="F62" s="90" t="s">
        <v>3</v>
      </c>
      <c r="G62" s="58">
        <f>ROUNDDOWN(J60*0.7,0)</f>
        <v>0</v>
      </c>
      <c r="H62" s="38" t="s">
        <v>33</v>
      </c>
    </row>
    <row r="63" spans="1:13" hidden="1" x14ac:dyDescent="0.4">
      <c r="C63" s="50"/>
      <c r="E63" s="51"/>
      <c r="G63" s="60" t="s">
        <v>124</v>
      </c>
    </row>
    <row r="64" spans="1:13" ht="6.75" hidden="1" customHeight="1" x14ac:dyDescent="0.4"/>
    <row r="65" spans="1:11" ht="18.75" hidden="1" customHeight="1" x14ac:dyDescent="0.4">
      <c r="A65" s="38" t="s">
        <v>31</v>
      </c>
    </row>
    <row r="66" spans="1:11" ht="18.75" hidden="1" customHeight="1" x14ac:dyDescent="0.4">
      <c r="A66" s="38" t="s">
        <v>113</v>
      </c>
      <c r="E66" s="96" t="str">
        <f>IF(J60="","0",G24)</f>
        <v>0</v>
      </c>
      <c r="F66" s="90" t="s">
        <v>97</v>
      </c>
      <c r="G66" s="47">
        <f>G62</f>
        <v>0</v>
      </c>
      <c r="H66" s="38" t="s">
        <v>114</v>
      </c>
      <c r="J66" s="47">
        <f>E66-G66</f>
        <v>0</v>
      </c>
      <c r="K66" s="38" t="s">
        <v>29</v>
      </c>
    </row>
  </sheetData>
  <mergeCells count="6">
    <mergeCell ref="B5:C5"/>
    <mergeCell ref="A58:M58"/>
    <mergeCell ref="A54:M54"/>
    <mergeCell ref="A1:M1"/>
    <mergeCell ref="E17:F17"/>
    <mergeCell ref="E15:F15"/>
  </mergeCells>
  <phoneticPr fontId="2"/>
  <conditionalFormatting sqref="L29">
    <cfRule type="expression" dxfId="3" priority="6">
      <formula>$J$29=1</formula>
    </cfRule>
  </conditionalFormatting>
  <conditionalFormatting sqref="L35">
    <cfRule type="expression" dxfId="2" priority="4">
      <formula>$J$35=1</formula>
    </cfRule>
  </conditionalFormatting>
  <conditionalFormatting sqref="M35">
    <cfRule type="expression" dxfId="1" priority="3">
      <formula>$J$35=1</formula>
    </cfRule>
  </conditionalFormatting>
  <conditionalFormatting sqref="L36">
    <cfRule type="expression" dxfId="0" priority="1">
      <formula>$J$35=1</formula>
    </cfRule>
  </conditionalFormatting>
  <dataValidations count="1">
    <dataValidation type="list" allowBlank="1" showInputMessage="1" showErrorMessage="1" sqref="J33">
      <formula1>$D$3:$D$4</formula1>
    </dataValidation>
  </dataValidations>
  <printOptions horizontalCentered="1"/>
  <pageMargins left="0.51181102362204722" right="0.31496062992125984" top="0.55118110236220474" bottom="0.35433070866141736"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リスト!$F$2:$F$3</xm:f>
          </x14:formula1>
          <xm:sqref>J32 J29 J35</xm:sqref>
        </x14:dataValidation>
        <x14:dataValidation type="list" allowBlank="1" showInputMessage="1" showErrorMessage="1">
          <x14:formula1>
            <xm:f>リスト!$F$3:$F$4</xm:f>
          </x14:formula1>
          <xm:sqref>J30</xm:sqref>
        </x14:dataValidation>
        <x14:dataValidation type="list" allowBlank="1" showInputMessage="1" showErrorMessage="1">
          <x14:formula1>
            <xm:f>リスト!$A$2:$A$4</xm:f>
          </x14:formula1>
          <xm:sqref>E15</xm:sqref>
        </x14:dataValidation>
        <x14:dataValidation type="list" allowBlank="1" showInputMessage="1" showErrorMessage="1">
          <x14:formula1>
            <xm:f>リスト!$G$2:$G$10</xm:f>
          </x14:formula1>
          <xm:sqref>L29</xm:sqref>
        </x14:dataValidation>
        <x14:dataValidation type="list" allowBlank="1" showInputMessage="1" showErrorMessage="1">
          <x14:formula1>
            <xm:f>リスト!$B$2:$B$16</xm:f>
          </x14:formula1>
          <xm:sqref>E17</xm:sqref>
        </x14:dataValidation>
        <x14:dataValidation type="list" allowBlank="1" showInputMessage="1" showErrorMessage="1">
          <x14:formula1>
            <xm:f>リスト!#REF!</xm:f>
          </x14:formula1>
          <xm:sqref>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B19" sqref="B19"/>
    </sheetView>
  </sheetViews>
  <sheetFormatPr defaultRowHeight="13.5" x14ac:dyDescent="0.4"/>
  <cols>
    <col min="1" max="1" width="32.375" style="38" customWidth="1"/>
    <col min="2" max="3" width="26.875" style="38" customWidth="1"/>
    <col min="4" max="16384" width="9" style="38"/>
  </cols>
  <sheetData>
    <row r="1" spans="1:11" ht="25.5" x14ac:dyDescent="0.4">
      <c r="A1" s="61" t="s">
        <v>94</v>
      </c>
      <c r="B1" s="61"/>
      <c r="C1" s="61"/>
      <c r="D1" s="62"/>
      <c r="E1" s="62"/>
      <c r="F1" s="62"/>
      <c r="G1" s="62"/>
      <c r="H1" s="62"/>
      <c r="I1" s="62"/>
      <c r="J1" s="62"/>
      <c r="K1" s="62"/>
    </row>
    <row r="2" spans="1:11" ht="13.5" customHeight="1" x14ac:dyDescent="0.4"/>
    <row r="3" spans="1:11" ht="21" customHeight="1" x14ac:dyDescent="0.4">
      <c r="A3" s="88" t="s">
        <v>54</v>
      </c>
    </row>
    <row r="4" spans="1:11" ht="21" customHeight="1" x14ac:dyDescent="0.4">
      <c r="A4" s="88" t="s">
        <v>115</v>
      </c>
    </row>
    <row r="5" spans="1:11" ht="21" customHeight="1" x14ac:dyDescent="0.4">
      <c r="A5" s="88" t="s">
        <v>116</v>
      </c>
    </row>
    <row r="6" spans="1:11" ht="21" customHeight="1" x14ac:dyDescent="0.4">
      <c r="A6" s="88" t="s">
        <v>98</v>
      </c>
    </row>
    <row r="7" spans="1:11" ht="21" customHeight="1" x14ac:dyDescent="0.4">
      <c r="A7" s="88" t="s">
        <v>147</v>
      </c>
    </row>
    <row r="8" spans="1:11" ht="14.25" thickBot="1" x14ac:dyDescent="0.45"/>
    <row r="9" spans="1:11" ht="21" customHeight="1" x14ac:dyDescent="0.4">
      <c r="A9" s="63" t="s">
        <v>34</v>
      </c>
      <c r="B9" s="64" t="s">
        <v>46</v>
      </c>
      <c r="C9" s="65" t="s">
        <v>47</v>
      </c>
      <c r="E9" s="42"/>
    </row>
    <row r="10" spans="1:11" ht="17.25" hidden="1" x14ac:dyDescent="0.4">
      <c r="A10" s="66" t="s">
        <v>35</v>
      </c>
      <c r="B10" s="67"/>
      <c r="C10" s="68"/>
      <c r="E10" s="42"/>
    </row>
    <row r="11" spans="1:11" ht="17.25" hidden="1" x14ac:dyDescent="0.4">
      <c r="A11" s="69" t="s">
        <v>36</v>
      </c>
      <c r="B11" s="67"/>
      <c r="C11" s="68"/>
      <c r="E11" s="42"/>
    </row>
    <row r="12" spans="1:11" ht="17.25" hidden="1" x14ac:dyDescent="0.4">
      <c r="A12" s="69" t="s">
        <v>37</v>
      </c>
      <c r="B12" s="67"/>
      <c r="C12" s="68"/>
      <c r="E12" s="42"/>
    </row>
    <row r="13" spans="1:11" ht="21" customHeight="1" x14ac:dyDescent="0.4">
      <c r="A13" s="70" t="s">
        <v>38</v>
      </c>
      <c r="B13" s="71">
        <f>試算!E41</f>
        <v>0</v>
      </c>
      <c r="C13" s="72" t="e">
        <f>VLOOKUP(定年前再任用短時間!$P$16,定年前再任用短時間!$A$16:$N$26,4,FALSE)</f>
        <v>#N/A</v>
      </c>
      <c r="E13" s="42"/>
    </row>
    <row r="14" spans="1:11" ht="21" customHeight="1" x14ac:dyDescent="0.4">
      <c r="A14" s="66" t="s">
        <v>48</v>
      </c>
      <c r="B14" s="73">
        <f>試算!E43</f>
        <v>0</v>
      </c>
      <c r="C14" s="74" t="e">
        <f>VLOOKUP(定年前再任用短時間!$P$16,定年前再任用短時間!$A$16:$N$26,5,FALSE)</f>
        <v>#N/A</v>
      </c>
    </row>
    <row r="15" spans="1:11" ht="21" customHeight="1" x14ac:dyDescent="0.4">
      <c r="A15" s="66" t="s">
        <v>49</v>
      </c>
      <c r="B15" s="73">
        <f>試算!E45</f>
        <v>0</v>
      </c>
      <c r="C15" s="74" t="e">
        <f>VLOOKUP(定年前再任用短時間!$P$16,定年前再任用短時間!$A$16:$N$26,6,FALSE)</f>
        <v>#N/A</v>
      </c>
    </row>
    <row r="16" spans="1:11" ht="21" customHeight="1" x14ac:dyDescent="0.4">
      <c r="A16" s="66" t="s">
        <v>39</v>
      </c>
      <c r="B16" s="73">
        <f>試算!E47</f>
        <v>0</v>
      </c>
      <c r="C16" s="74" t="e">
        <f>VLOOKUP(定年前再任用短時間!$P$16,定年前再任用短時間!$A$16:$N$26,7,FALSE)</f>
        <v>#N/A</v>
      </c>
    </row>
    <row r="17" spans="1:11" ht="21" customHeight="1" x14ac:dyDescent="0.4">
      <c r="A17" s="66" t="s">
        <v>40</v>
      </c>
      <c r="B17" s="75">
        <f>試算!E49</f>
        <v>0</v>
      </c>
      <c r="C17" s="76" t="e">
        <f>VLOOKUP(定年前再任用短時間!$P$16,定年前再任用短時間!$A$16:$N$26,8,FALSE)</f>
        <v>#N/A</v>
      </c>
    </row>
    <row r="18" spans="1:11" ht="21" customHeight="1" x14ac:dyDescent="0.4">
      <c r="A18" s="77" t="s">
        <v>41</v>
      </c>
      <c r="B18" s="78">
        <f>SUM(B13:B17)</f>
        <v>0</v>
      </c>
      <c r="C18" s="79" t="e">
        <f>SUM(C13:C17)</f>
        <v>#N/A</v>
      </c>
    </row>
    <row r="19" spans="1:11" ht="21" customHeight="1" x14ac:dyDescent="0.4">
      <c r="A19" s="80" t="s">
        <v>42</v>
      </c>
      <c r="B19" s="81" t="e">
        <f>ROUNDDOWN((B13+B14+B15+B16+ROUNDDOWN((B13+B14+B15+B16)*VLOOKUP(試算!E17,リスト!B:E,4,FALSE),0))*リスト!I2,0)</f>
        <v>#N/A</v>
      </c>
      <c r="C19" s="72" t="e">
        <f>VLOOKUP(定年前再任用短時間!$P$16,定年前再任用短時間!$A$16:$N$26,11,FALSE)</f>
        <v>#N/A</v>
      </c>
    </row>
    <row r="20" spans="1:11" ht="21" customHeight="1" x14ac:dyDescent="0.4">
      <c r="A20" s="66" t="s">
        <v>43</v>
      </c>
      <c r="B20" s="82" t="e">
        <f>ROUNDDOWN((B13+B14+B15+B16+ROUNDDOWN((B13+B14+B15+B16)*VLOOKUP(試算!E17,リスト!B:E,4,FALSE),0))*リスト!J2,0)</f>
        <v>#N/A</v>
      </c>
      <c r="C20" s="76" t="e">
        <f>VLOOKUP(定年前再任用短時間!$P$16,定年前再任用短時間!$A$16:$N$26,12,FALSE)</f>
        <v>#N/A</v>
      </c>
    </row>
    <row r="21" spans="1:11" ht="21" customHeight="1" thickBot="1" x14ac:dyDescent="0.45">
      <c r="A21" s="83" t="s">
        <v>44</v>
      </c>
      <c r="B21" s="84" t="e">
        <f>SUM(B19:B20)</f>
        <v>#N/A</v>
      </c>
      <c r="C21" s="85" t="e">
        <f>SUM(C19:C20)</f>
        <v>#N/A</v>
      </c>
    </row>
    <row r="22" spans="1:11" ht="36" thickTop="1" thickBot="1" x14ac:dyDescent="0.45">
      <c r="A22" s="86" t="s">
        <v>45</v>
      </c>
      <c r="B22" s="87" t="e">
        <f>B18*12+B21</f>
        <v>#N/A</v>
      </c>
      <c r="C22" s="87" t="e">
        <f>C18*12+C21</f>
        <v>#N/A</v>
      </c>
    </row>
    <row r="23" spans="1:11" x14ac:dyDescent="0.4">
      <c r="C23" s="54" t="s">
        <v>149</v>
      </c>
    </row>
    <row r="25" spans="1:11" ht="25.5" x14ac:dyDescent="0.4">
      <c r="A25" s="61" t="s">
        <v>52</v>
      </c>
      <c r="B25" s="61"/>
      <c r="C25" s="61"/>
      <c r="D25" s="62"/>
      <c r="E25" s="62"/>
      <c r="F25" s="62"/>
      <c r="G25" s="62"/>
      <c r="H25" s="62"/>
      <c r="I25" s="62"/>
      <c r="J25" s="62"/>
      <c r="K25" s="62"/>
    </row>
    <row r="26" spans="1:11" ht="14.25" customHeight="1" x14ac:dyDescent="0.4"/>
    <row r="27" spans="1:11" ht="19.5" customHeight="1" x14ac:dyDescent="0.4">
      <c r="A27" s="88" t="s">
        <v>105</v>
      </c>
      <c r="B27" s="88"/>
      <c r="C27" s="88"/>
    </row>
    <row r="28" spans="1:11" ht="19.5" customHeight="1" x14ac:dyDescent="0.4">
      <c r="A28" s="88" t="s">
        <v>101</v>
      </c>
      <c r="B28" s="88"/>
      <c r="C28" s="88"/>
    </row>
    <row r="29" spans="1:11" ht="12.75" customHeight="1" x14ac:dyDescent="0.4">
      <c r="A29" s="88"/>
      <c r="B29" s="88"/>
      <c r="C29" s="88"/>
    </row>
    <row r="30" spans="1:11" ht="19.5" customHeight="1" x14ac:dyDescent="0.4">
      <c r="A30" s="88" t="s">
        <v>103</v>
      </c>
      <c r="B30" s="88"/>
      <c r="C30" s="88"/>
    </row>
    <row r="31" spans="1:11" ht="19.5" customHeight="1" x14ac:dyDescent="0.4">
      <c r="A31" s="88" t="s">
        <v>104</v>
      </c>
      <c r="B31" s="88"/>
      <c r="C31" s="88"/>
    </row>
    <row r="32" spans="1:11" ht="19.5" customHeight="1" x14ac:dyDescent="0.4">
      <c r="A32" s="88" t="s">
        <v>102</v>
      </c>
      <c r="B32" s="88"/>
      <c r="C32" s="88"/>
    </row>
    <row r="33" spans="1:3" ht="14.25" x14ac:dyDescent="0.4">
      <c r="A33" s="88"/>
      <c r="B33" s="88"/>
      <c r="C33" s="88"/>
    </row>
    <row r="34" spans="1:3" ht="21.75" customHeight="1" x14ac:dyDescent="0.4">
      <c r="A34" s="88" t="s">
        <v>95</v>
      </c>
      <c r="B34" s="88"/>
      <c r="C34" s="88"/>
    </row>
    <row r="35" spans="1:3" ht="6" customHeight="1" x14ac:dyDescent="0.4">
      <c r="A35" s="88"/>
      <c r="B35" s="88"/>
      <c r="C35" s="88"/>
    </row>
    <row r="36" spans="1:3" ht="27" customHeight="1" x14ac:dyDescent="0.4">
      <c r="A36" s="88"/>
      <c r="B36" s="89">
        <f>ROUND((B13+B14+B15+B16+B17)*12/2015,0)</f>
        <v>0</v>
      </c>
      <c r="C36" s="88" t="s">
        <v>96</v>
      </c>
    </row>
    <row r="37" spans="1:3" ht="19.5" customHeight="1" x14ac:dyDescent="0.4">
      <c r="A37" s="88"/>
      <c r="B37" s="106" t="s">
        <v>148</v>
      </c>
      <c r="C37" s="88"/>
    </row>
    <row r="38" spans="1:3" ht="10.5" customHeight="1" x14ac:dyDescent="0.4">
      <c r="A38" s="88"/>
      <c r="B38" s="88"/>
      <c r="C38" s="88"/>
    </row>
    <row r="39" spans="1:3" ht="19.5" customHeight="1" x14ac:dyDescent="0.4">
      <c r="A39" s="88" t="s">
        <v>100</v>
      </c>
      <c r="B39" s="88"/>
      <c r="C39" s="88"/>
    </row>
  </sheetData>
  <phoneticPr fontId="2"/>
  <printOptions horizontalCentered="1"/>
  <pageMargins left="0.51181102362204722" right="0.51181102362204722" top="0.94488188976377963" bottom="0.74803149606299213" header="0.31496062992125984" footer="0.31496062992125984"/>
  <pageSetup paperSize="9" scale="98" orientation="portrait"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P33"/>
  <sheetViews>
    <sheetView zoomScaleNormal="100" workbookViewId="0">
      <selection activeCell="C10" sqref="C10"/>
    </sheetView>
  </sheetViews>
  <sheetFormatPr defaultColWidth="10.625" defaultRowHeight="13.5" x14ac:dyDescent="0.15"/>
  <cols>
    <col min="1" max="1" width="4.25" style="4" customWidth="1"/>
    <col min="2" max="2" width="19.625" style="4" customWidth="1"/>
    <col min="3" max="10" width="10.125" style="4" customWidth="1"/>
    <col min="11" max="11" width="13.125" style="4" bestFit="1" customWidth="1"/>
    <col min="12" max="12" width="9" style="4" bestFit="1" customWidth="1"/>
    <col min="13" max="14" width="10.125" style="4" customWidth="1"/>
    <col min="15" max="15" width="11.625" style="4" customWidth="1"/>
    <col min="16" max="16" width="10.625" style="4" bestFit="1" customWidth="1"/>
    <col min="17" max="257" width="10.625" style="4"/>
    <col min="258" max="258" width="19.625" style="4" customWidth="1"/>
    <col min="259" max="270" width="10.125" style="4" customWidth="1"/>
    <col min="271" max="271" width="11.625" style="4" customWidth="1"/>
    <col min="272" max="272" width="10.625" style="4" bestFit="1" customWidth="1"/>
    <col min="273" max="513" width="10.625" style="4"/>
    <col min="514" max="514" width="19.625" style="4" customWidth="1"/>
    <col min="515" max="526" width="10.125" style="4" customWidth="1"/>
    <col min="527" max="527" width="11.625" style="4" customWidth="1"/>
    <col min="528" max="528" width="10.625" style="4" bestFit="1" customWidth="1"/>
    <col min="529" max="769" width="10.625" style="4"/>
    <col min="770" max="770" width="19.625" style="4" customWidth="1"/>
    <col min="771" max="782" width="10.125" style="4" customWidth="1"/>
    <col min="783" max="783" width="11.625" style="4" customWidth="1"/>
    <col min="784" max="784" width="10.625" style="4" bestFit="1" customWidth="1"/>
    <col min="785" max="1025" width="10.625" style="4"/>
    <col min="1026" max="1026" width="19.625" style="4" customWidth="1"/>
    <col min="1027" max="1038" width="10.125" style="4" customWidth="1"/>
    <col min="1039" max="1039" width="11.625" style="4" customWidth="1"/>
    <col min="1040" max="1040" width="10.625" style="4" bestFit="1" customWidth="1"/>
    <col min="1041" max="1281" width="10.625" style="4"/>
    <col min="1282" max="1282" width="19.625" style="4" customWidth="1"/>
    <col min="1283" max="1294" width="10.125" style="4" customWidth="1"/>
    <col min="1295" max="1295" width="11.625" style="4" customWidth="1"/>
    <col min="1296" max="1296" width="10.625" style="4" bestFit="1" customWidth="1"/>
    <col min="1297" max="1537" width="10.625" style="4"/>
    <col min="1538" max="1538" width="19.625" style="4" customWidth="1"/>
    <col min="1539" max="1550" width="10.125" style="4" customWidth="1"/>
    <col min="1551" max="1551" width="11.625" style="4" customWidth="1"/>
    <col min="1552" max="1552" width="10.625" style="4" bestFit="1" customWidth="1"/>
    <col min="1553" max="1793" width="10.625" style="4"/>
    <col min="1794" max="1794" width="19.625" style="4" customWidth="1"/>
    <col min="1795" max="1806" width="10.125" style="4" customWidth="1"/>
    <col min="1807" max="1807" width="11.625" style="4" customWidth="1"/>
    <col min="1808" max="1808" width="10.625" style="4" bestFit="1" customWidth="1"/>
    <col min="1809" max="2049" width="10.625" style="4"/>
    <col min="2050" max="2050" width="19.625" style="4" customWidth="1"/>
    <col min="2051" max="2062" width="10.125" style="4" customWidth="1"/>
    <col min="2063" max="2063" width="11.625" style="4" customWidth="1"/>
    <col min="2064" max="2064" width="10.625" style="4" bestFit="1" customWidth="1"/>
    <col min="2065" max="2305" width="10.625" style="4"/>
    <col min="2306" max="2306" width="19.625" style="4" customWidth="1"/>
    <col min="2307" max="2318" width="10.125" style="4" customWidth="1"/>
    <col min="2319" max="2319" width="11.625" style="4" customWidth="1"/>
    <col min="2320" max="2320" width="10.625" style="4" bestFit="1" customWidth="1"/>
    <col min="2321" max="2561" width="10.625" style="4"/>
    <col min="2562" max="2562" width="19.625" style="4" customWidth="1"/>
    <col min="2563" max="2574" width="10.125" style="4" customWidth="1"/>
    <col min="2575" max="2575" width="11.625" style="4" customWidth="1"/>
    <col min="2576" max="2576" width="10.625" style="4" bestFit="1" customWidth="1"/>
    <col min="2577" max="2817" width="10.625" style="4"/>
    <col min="2818" max="2818" width="19.625" style="4" customWidth="1"/>
    <col min="2819" max="2830" width="10.125" style="4" customWidth="1"/>
    <col min="2831" max="2831" width="11.625" style="4" customWidth="1"/>
    <col min="2832" max="2832" width="10.625" style="4" bestFit="1" customWidth="1"/>
    <col min="2833" max="3073" width="10.625" style="4"/>
    <col min="3074" max="3074" width="19.625" style="4" customWidth="1"/>
    <col min="3075" max="3086" width="10.125" style="4" customWidth="1"/>
    <col min="3087" max="3087" width="11.625" style="4" customWidth="1"/>
    <col min="3088" max="3088" width="10.625" style="4" bestFit="1" customWidth="1"/>
    <col min="3089" max="3329" width="10.625" style="4"/>
    <col min="3330" max="3330" width="19.625" style="4" customWidth="1"/>
    <col min="3331" max="3342" width="10.125" style="4" customWidth="1"/>
    <col min="3343" max="3343" width="11.625" style="4" customWidth="1"/>
    <col min="3344" max="3344" width="10.625" style="4" bestFit="1" customWidth="1"/>
    <col min="3345" max="3585" width="10.625" style="4"/>
    <col min="3586" max="3586" width="19.625" style="4" customWidth="1"/>
    <col min="3587" max="3598" width="10.125" style="4" customWidth="1"/>
    <col min="3599" max="3599" width="11.625" style="4" customWidth="1"/>
    <col min="3600" max="3600" width="10.625" style="4" bestFit="1" customWidth="1"/>
    <col min="3601" max="3841" width="10.625" style="4"/>
    <col min="3842" max="3842" width="19.625" style="4" customWidth="1"/>
    <col min="3843" max="3854" width="10.125" style="4" customWidth="1"/>
    <col min="3855" max="3855" width="11.625" style="4" customWidth="1"/>
    <col min="3856" max="3856" width="10.625" style="4" bestFit="1" customWidth="1"/>
    <col min="3857" max="4097" width="10.625" style="4"/>
    <col min="4098" max="4098" width="19.625" style="4" customWidth="1"/>
    <col min="4099" max="4110" width="10.125" style="4" customWidth="1"/>
    <col min="4111" max="4111" width="11.625" style="4" customWidth="1"/>
    <col min="4112" max="4112" width="10.625" style="4" bestFit="1" customWidth="1"/>
    <col min="4113" max="4353" width="10.625" style="4"/>
    <col min="4354" max="4354" width="19.625" style="4" customWidth="1"/>
    <col min="4355" max="4366" width="10.125" style="4" customWidth="1"/>
    <col min="4367" max="4367" width="11.625" style="4" customWidth="1"/>
    <col min="4368" max="4368" width="10.625" style="4" bestFit="1" customWidth="1"/>
    <col min="4369" max="4609" width="10.625" style="4"/>
    <col min="4610" max="4610" width="19.625" style="4" customWidth="1"/>
    <col min="4611" max="4622" width="10.125" style="4" customWidth="1"/>
    <col min="4623" max="4623" width="11.625" style="4" customWidth="1"/>
    <col min="4624" max="4624" width="10.625" style="4" bestFit="1" customWidth="1"/>
    <col min="4625" max="4865" width="10.625" style="4"/>
    <col min="4866" max="4866" width="19.625" style="4" customWidth="1"/>
    <col min="4867" max="4878" width="10.125" style="4" customWidth="1"/>
    <col min="4879" max="4879" width="11.625" style="4" customWidth="1"/>
    <col min="4880" max="4880" width="10.625" style="4" bestFit="1" customWidth="1"/>
    <col min="4881" max="5121" width="10.625" style="4"/>
    <col min="5122" max="5122" width="19.625" style="4" customWidth="1"/>
    <col min="5123" max="5134" width="10.125" style="4" customWidth="1"/>
    <col min="5135" max="5135" width="11.625" style="4" customWidth="1"/>
    <col min="5136" max="5136" width="10.625" style="4" bestFit="1" customWidth="1"/>
    <col min="5137" max="5377" width="10.625" style="4"/>
    <col min="5378" max="5378" width="19.625" style="4" customWidth="1"/>
    <col min="5379" max="5390" width="10.125" style="4" customWidth="1"/>
    <col min="5391" max="5391" width="11.625" style="4" customWidth="1"/>
    <col min="5392" max="5392" width="10.625" style="4" bestFit="1" customWidth="1"/>
    <col min="5393" max="5633" width="10.625" style="4"/>
    <col min="5634" max="5634" width="19.625" style="4" customWidth="1"/>
    <col min="5635" max="5646" width="10.125" style="4" customWidth="1"/>
    <col min="5647" max="5647" width="11.625" style="4" customWidth="1"/>
    <col min="5648" max="5648" width="10.625" style="4" bestFit="1" customWidth="1"/>
    <col min="5649" max="5889" width="10.625" style="4"/>
    <col min="5890" max="5890" width="19.625" style="4" customWidth="1"/>
    <col min="5891" max="5902" width="10.125" style="4" customWidth="1"/>
    <col min="5903" max="5903" width="11.625" style="4" customWidth="1"/>
    <col min="5904" max="5904" width="10.625" style="4" bestFit="1" customWidth="1"/>
    <col min="5905" max="6145" width="10.625" style="4"/>
    <col min="6146" max="6146" width="19.625" style="4" customWidth="1"/>
    <col min="6147" max="6158" width="10.125" style="4" customWidth="1"/>
    <col min="6159" max="6159" width="11.625" style="4" customWidth="1"/>
    <col min="6160" max="6160" width="10.625" style="4" bestFit="1" customWidth="1"/>
    <col min="6161" max="6401" width="10.625" style="4"/>
    <col min="6402" max="6402" width="19.625" style="4" customWidth="1"/>
    <col min="6403" max="6414" width="10.125" style="4" customWidth="1"/>
    <col min="6415" max="6415" width="11.625" style="4" customWidth="1"/>
    <col min="6416" max="6416" width="10.625" style="4" bestFit="1" customWidth="1"/>
    <col min="6417" max="6657" width="10.625" style="4"/>
    <col min="6658" max="6658" width="19.625" style="4" customWidth="1"/>
    <col min="6659" max="6670" width="10.125" style="4" customWidth="1"/>
    <col min="6671" max="6671" width="11.625" style="4" customWidth="1"/>
    <col min="6672" max="6672" width="10.625" style="4" bestFit="1" customWidth="1"/>
    <col min="6673" max="6913" width="10.625" style="4"/>
    <col min="6914" max="6914" width="19.625" style="4" customWidth="1"/>
    <col min="6915" max="6926" width="10.125" style="4" customWidth="1"/>
    <col min="6927" max="6927" width="11.625" style="4" customWidth="1"/>
    <col min="6928" max="6928" width="10.625" style="4" bestFit="1" customWidth="1"/>
    <col min="6929" max="7169" width="10.625" style="4"/>
    <col min="7170" max="7170" width="19.625" style="4" customWidth="1"/>
    <col min="7171" max="7182" width="10.125" style="4" customWidth="1"/>
    <col min="7183" max="7183" width="11.625" style="4" customWidth="1"/>
    <col min="7184" max="7184" width="10.625" style="4" bestFit="1" customWidth="1"/>
    <col min="7185" max="7425" width="10.625" style="4"/>
    <col min="7426" max="7426" width="19.625" style="4" customWidth="1"/>
    <col min="7427" max="7438" width="10.125" style="4" customWidth="1"/>
    <col min="7439" max="7439" width="11.625" style="4" customWidth="1"/>
    <col min="7440" max="7440" width="10.625" style="4" bestFit="1" customWidth="1"/>
    <col min="7441" max="7681" width="10.625" style="4"/>
    <col min="7682" max="7682" width="19.625" style="4" customWidth="1"/>
    <col min="7683" max="7694" width="10.125" style="4" customWidth="1"/>
    <col min="7695" max="7695" width="11.625" style="4" customWidth="1"/>
    <col min="7696" max="7696" width="10.625" style="4" bestFit="1" customWidth="1"/>
    <col min="7697" max="7937" width="10.625" style="4"/>
    <col min="7938" max="7938" width="19.625" style="4" customWidth="1"/>
    <col min="7939" max="7950" width="10.125" style="4" customWidth="1"/>
    <col min="7951" max="7951" width="11.625" style="4" customWidth="1"/>
    <col min="7952" max="7952" width="10.625" style="4" bestFit="1" customWidth="1"/>
    <col min="7953" max="8193" width="10.625" style="4"/>
    <col min="8194" max="8194" width="19.625" style="4" customWidth="1"/>
    <col min="8195" max="8206" width="10.125" style="4" customWidth="1"/>
    <col min="8207" max="8207" width="11.625" style="4" customWidth="1"/>
    <col min="8208" max="8208" width="10.625" style="4" bestFit="1" customWidth="1"/>
    <col min="8209" max="8449" width="10.625" style="4"/>
    <col min="8450" max="8450" width="19.625" style="4" customWidth="1"/>
    <col min="8451" max="8462" width="10.125" style="4" customWidth="1"/>
    <col min="8463" max="8463" width="11.625" style="4" customWidth="1"/>
    <col min="8464" max="8464" width="10.625" style="4" bestFit="1" customWidth="1"/>
    <col min="8465" max="8705" width="10.625" style="4"/>
    <col min="8706" max="8706" width="19.625" style="4" customWidth="1"/>
    <col min="8707" max="8718" width="10.125" style="4" customWidth="1"/>
    <col min="8719" max="8719" width="11.625" style="4" customWidth="1"/>
    <col min="8720" max="8720" width="10.625" style="4" bestFit="1" customWidth="1"/>
    <col min="8721" max="8961" width="10.625" style="4"/>
    <col min="8962" max="8962" width="19.625" style="4" customWidth="1"/>
    <col min="8963" max="8974" width="10.125" style="4" customWidth="1"/>
    <col min="8975" max="8975" width="11.625" style="4" customWidth="1"/>
    <col min="8976" max="8976" width="10.625" style="4" bestFit="1" customWidth="1"/>
    <col min="8977" max="9217" width="10.625" style="4"/>
    <col min="9218" max="9218" width="19.625" style="4" customWidth="1"/>
    <col min="9219" max="9230" width="10.125" style="4" customWidth="1"/>
    <col min="9231" max="9231" width="11.625" style="4" customWidth="1"/>
    <col min="9232" max="9232" width="10.625" style="4" bestFit="1" customWidth="1"/>
    <col min="9233" max="9473" width="10.625" style="4"/>
    <col min="9474" max="9474" width="19.625" style="4" customWidth="1"/>
    <col min="9475" max="9486" width="10.125" style="4" customWidth="1"/>
    <col min="9487" max="9487" width="11.625" style="4" customWidth="1"/>
    <col min="9488" max="9488" width="10.625" style="4" bestFit="1" customWidth="1"/>
    <col min="9489" max="9729" width="10.625" style="4"/>
    <col min="9730" max="9730" width="19.625" style="4" customWidth="1"/>
    <col min="9731" max="9742" width="10.125" style="4" customWidth="1"/>
    <col min="9743" max="9743" width="11.625" style="4" customWidth="1"/>
    <col min="9744" max="9744" width="10.625" style="4" bestFit="1" customWidth="1"/>
    <col min="9745" max="9985" width="10.625" style="4"/>
    <col min="9986" max="9986" width="19.625" style="4" customWidth="1"/>
    <col min="9987" max="9998" width="10.125" style="4" customWidth="1"/>
    <col min="9999" max="9999" width="11.625" style="4" customWidth="1"/>
    <col min="10000" max="10000" width="10.625" style="4" bestFit="1" customWidth="1"/>
    <col min="10001" max="10241" width="10.625" style="4"/>
    <col min="10242" max="10242" width="19.625" style="4" customWidth="1"/>
    <col min="10243" max="10254" width="10.125" style="4" customWidth="1"/>
    <col min="10255" max="10255" width="11.625" style="4" customWidth="1"/>
    <col min="10256" max="10256" width="10.625" style="4" bestFit="1" customWidth="1"/>
    <col min="10257" max="10497" width="10.625" style="4"/>
    <col min="10498" max="10498" width="19.625" style="4" customWidth="1"/>
    <col min="10499" max="10510" width="10.125" style="4" customWidth="1"/>
    <col min="10511" max="10511" width="11.625" style="4" customWidth="1"/>
    <col min="10512" max="10512" width="10.625" style="4" bestFit="1" customWidth="1"/>
    <col min="10513" max="10753" width="10.625" style="4"/>
    <col min="10754" max="10754" width="19.625" style="4" customWidth="1"/>
    <col min="10755" max="10766" width="10.125" style="4" customWidth="1"/>
    <col min="10767" max="10767" width="11.625" style="4" customWidth="1"/>
    <col min="10768" max="10768" width="10.625" style="4" bestFit="1" customWidth="1"/>
    <col min="10769" max="11009" width="10.625" style="4"/>
    <col min="11010" max="11010" width="19.625" style="4" customWidth="1"/>
    <col min="11011" max="11022" width="10.125" style="4" customWidth="1"/>
    <col min="11023" max="11023" width="11.625" style="4" customWidth="1"/>
    <col min="11024" max="11024" width="10.625" style="4" bestFit="1" customWidth="1"/>
    <col min="11025" max="11265" width="10.625" style="4"/>
    <col min="11266" max="11266" width="19.625" style="4" customWidth="1"/>
    <col min="11267" max="11278" width="10.125" style="4" customWidth="1"/>
    <col min="11279" max="11279" width="11.625" style="4" customWidth="1"/>
    <col min="11280" max="11280" width="10.625" style="4" bestFit="1" customWidth="1"/>
    <col min="11281" max="11521" width="10.625" style="4"/>
    <col min="11522" max="11522" width="19.625" style="4" customWidth="1"/>
    <col min="11523" max="11534" width="10.125" style="4" customWidth="1"/>
    <col min="11535" max="11535" width="11.625" style="4" customWidth="1"/>
    <col min="11536" max="11536" width="10.625" style="4" bestFit="1" customWidth="1"/>
    <col min="11537" max="11777" width="10.625" style="4"/>
    <col min="11778" max="11778" width="19.625" style="4" customWidth="1"/>
    <col min="11779" max="11790" width="10.125" style="4" customWidth="1"/>
    <col min="11791" max="11791" width="11.625" style="4" customWidth="1"/>
    <col min="11792" max="11792" width="10.625" style="4" bestFit="1" customWidth="1"/>
    <col min="11793" max="12033" width="10.625" style="4"/>
    <col min="12034" max="12034" width="19.625" style="4" customWidth="1"/>
    <col min="12035" max="12046" width="10.125" style="4" customWidth="1"/>
    <col min="12047" max="12047" width="11.625" style="4" customWidth="1"/>
    <col min="12048" max="12048" width="10.625" style="4" bestFit="1" customWidth="1"/>
    <col min="12049" max="12289" width="10.625" style="4"/>
    <col min="12290" max="12290" width="19.625" style="4" customWidth="1"/>
    <col min="12291" max="12302" width="10.125" style="4" customWidth="1"/>
    <col min="12303" max="12303" width="11.625" style="4" customWidth="1"/>
    <col min="12304" max="12304" width="10.625" style="4" bestFit="1" customWidth="1"/>
    <col min="12305" max="12545" width="10.625" style="4"/>
    <col min="12546" max="12546" width="19.625" style="4" customWidth="1"/>
    <col min="12547" max="12558" width="10.125" style="4" customWidth="1"/>
    <col min="12559" max="12559" width="11.625" style="4" customWidth="1"/>
    <col min="12560" max="12560" width="10.625" style="4" bestFit="1" customWidth="1"/>
    <col min="12561" max="12801" width="10.625" style="4"/>
    <col min="12802" max="12802" width="19.625" style="4" customWidth="1"/>
    <col min="12803" max="12814" width="10.125" style="4" customWidth="1"/>
    <col min="12815" max="12815" width="11.625" style="4" customWidth="1"/>
    <col min="12816" max="12816" width="10.625" style="4" bestFit="1" customWidth="1"/>
    <col min="12817" max="13057" width="10.625" style="4"/>
    <col min="13058" max="13058" width="19.625" style="4" customWidth="1"/>
    <col min="13059" max="13070" width="10.125" style="4" customWidth="1"/>
    <col min="13071" max="13071" width="11.625" style="4" customWidth="1"/>
    <col min="13072" max="13072" width="10.625" style="4" bestFit="1" customWidth="1"/>
    <col min="13073" max="13313" width="10.625" style="4"/>
    <col min="13314" max="13314" width="19.625" style="4" customWidth="1"/>
    <col min="13315" max="13326" width="10.125" style="4" customWidth="1"/>
    <col min="13327" max="13327" width="11.625" style="4" customWidth="1"/>
    <col min="13328" max="13328" width="10.625" style="4" bestFit="1" customWidth="1"/>
    <col min="13329" max="13569" width="10.625" style="4"/>
    <col min="13570" max="13570" width="19.625" style="4" customWidth="1"/>
    <col min="13571" max="13582" width="10.125" style="4" customWidth="1"/>
    <col min="13583" max="13583" width="11.625" style="4" customWidth="1"/>
    <col min="13584" max="13584" width="10.625" style="4" bestFit="1" customWidth="1"/>
    <col min="13585" max="13825" width="10.625" style="4"/>
    <col min="13826" max="13826" width="19.625" style="4" customWidth="1"/>
    <col min="13827" max="13838" width="10.125" style="4" customWidth="1"/>
    <col min="13839" max="13839" width="11.625" style="4" customWidth="1"/>
    <col min="13840" max="13840" width="10.625" style="4" bestFit="1" customWidth="1"/>
    <col min="13841" max="14081" width="10.625" style="4"/>
    <col min="14082" max="14082" width="19.625" style="4" customWidth="1"/>
    <col min="14083" max="14094" width="10.125" style="4" customWidth="1"/>
    <col min="14095" max="14095" width="11.625" style="4" customWidth="1"/>
    <col min="14096" max="14096" width="10.625" style="4" bestFit="1" customWidth="1"/>
    <col min="14097" max="14337" width="10.625" style="4"/>
    <col min="14338" max="14338" width="19.625" style="4" customWidth="1"/>
    <col min="14339" max="14350" width="10.125" style="4" customWidth="1"/>
    <col min="14351" max="14351" width="11.625" style="4" customWidth="1"/>
    <col min="14352" max="14352" width="10.625" style="4" bestFit="1" customWidth="1"/>
    <col min="14353" max="14593" width="10.625" style="4"/>
    <col min="14594" max="14594" width="19.625" style="4" customWidth="1"/>
    <col min="14595" max="14606" width="10.125" style="4" customWidth="1"/>
    <col min="14607" max="14607" width="11.625" style="4" customWidth="1"/>
    <col min="14608" max="14608" width="10.625" style="4" bestFit="1" customWidth="1"/>
    <col min="14609" max="14849" width="10.625" style="4"/>
    <col min="14850" max="14850" width="19.625" style="4" customWidth="1"/>
    <col min="14851" max="14862" width="10.125" style="4" customWidth="1"/>
    <col min="14863" max="14863" width="11.625" style="4" customWidth="1"/>
    <col min="14864" max="14864" width="10.625" style="4" bestFit="1" customWidth="1"/>
    <col min="14865" max="15105" width="10.625" style="4"/>
    <col min="15106" max="15106" width="19.625" style="4" customWidth="1"/>
    <col min="15107" max="15118" width="10.125" style="4" customWidth="1"/>
    <col min="15119" max="15119" width="11.625" style="4" customWidth="1"/>
    <col min="15120" max="15120" width="10.625" style="4" bestFit="1" customWidth="1"/>
    <col min="15121" max="15361" width="10.625" style="4"/>
    <col min="15362" max="15362" width="19.625" style="4" customWidth="1"/>
    <col min="15363" max="15374" width="10.125" style="4" customWidth="1"/>
    <col min="15375" max="15375" width="11.625" style="4" customWidth="1"/>
    <col min="15376" max="15376" width="10.625" style="4" bestFit="1" customWidth="1"/>
    <col min="15377" max="15617" width="10.625" style="4"/>
    <col min="15618" max="15618" width="19.625" style="4" customWidth="1"/>
    <col min="15619" max="15630" width="10.125" style="4" customWidth="1"/>
    <col min="15631" max="15631" width="11.625" style="4" customWidth="1"/>
    <col min="15632" max="15632" width="10.625" style="4" bestFit="1" customWidth="1"/>
    <col min="15633" max="15873" width="10.625" style="4"/>
    <col min="15874" max="15874" width="19.625" style="4" customWidth="1"/>
    <col min="15875" max="15886" width="10.125" style="4" customWidth="1"/>
    <col min="15887" max="15887" width="11.625" style="4" customWidth="1"/>
    <col min="15888" max="15888" width="10.625" style="4" bestFit="1" customWidth="1"/>
    <col min="15889" max="16129" width="10.625" style="4"/>
    <col min="16130" max="16130" width="19.625" style="4" customWidth="1"/>
    <col min="16131" max="16142" width="10.125" style="4" customWidth="1"/>
    <col min="16143" max="16143" width="11.625" style="4" customWidth="1"/>
    <col min="16144" max="16144" width="10.625" style="4" bestFit="1" customWidth="1"/>
    <col min="16145" max="16384" width="10.625" style="4"/>
  </cols>
  <sheetData>
    <row r="1" spans="1:16" ht="18.75" customHeight="1" x14ac:dyDescent="0.15">
      <c r="B1" s="3" t="s">
        <v>152</v>
      </c>
      <c r="N1" s="5"/>
    </row>
    <row r="3" spans="1:16" ht="15" customHeight="1" x14ac:dyDescent="0.15">
      <c r="B3" s="6" t="s">
        <v>55</v>
      </c>
      <c r="C3" s="7" t="s">
        <v>56</v>
      </c>
      <c r="D3" s="4">
        <v>1.0062</v>
      </c>
      <c r="F3" s="8">
        <v>0.05</v>
      </c>
      <c r="G3" s="9">
        <v>0.05</v>
      </c>
      <c r="J3" s="8">
        <v>0.05</v>
      </c>
      <c r="K3" s="10">
        <f>ROUNDDOWN(J31/100,5)</f>
        <v>1.425</v>
      </c>
      <c r="L3" s="10">
        <f>K31/100</f>
        <v>1.0249999999999999</v>
      </c>
      <c r="M3" s="10">
        <v>2.4500000000000002</v>
      </c>
    </row>
    <row r="4" spans="1:16" s="13" customFormat="1" ht="15" customHeight="1" thickBot="1" x14ac:dyDescent="0.45">
      <c r="B4" s="11"/>
      <c r="C4" s="12" t="s">
        <v>57</v>
      </c>
      <c r="D4" s="12" t="s">
        <v>58</v>
      </c>
      <c r="E4" s="12" t="s">
        <v>59</v>
      </c>
      <c r="F4" s="12" t="s">
        <v>60</v>
      </c>
      <c r="G4" s="12" t="s">
        <v>61</v>
      </c>
      <c r="H4" s="12" t="s">
        <v>62</v>
      </c>
      <c r="I4" s="12" t="s">
        <v>63</v>
      </c>
      <c r="J4" s="12" t="s">
        <v>64</v>
      </c>
      <c r="K4" s="12" t="s">
        <v>65</v>
      </c>
      <c r="L4" s="12" t="s">
        <v>66</v>
      </c>
      <c r="M4" s="12" t="s">
        <v>67</v>
      </c>
      <c r="N4" s="12" t="s">
        <v>68</v>
      </c>
    </row>
    <row r="5" spans="1:16" s="13" customFormat="1" ht="15" customHeight="1" thickTop="1" x14ac:dyDescent="0.4">
      <c r="B5" s="21" t="s">
        <v>69</v>
      </c>
      <c r="C5" s="22">
        <v>288900</v>
      </c>
      <c r="D5" s="23">
        <f t="shared" ref="D5:D12" si="0">ROUNDDOWN(C5*$D$3,0)</f>
        <v>290691</v>
      </c>
      <c r="E5" s="22"/>
      <c r="F5" s="23">
        <f>ROUNDDOWN(D5*$F$3,0)</f>
        <v>14534</v>
      </c>
      <c r="G5" s="23">
        <f>ROUNDDOWN((D5+E5+F5)*$G$3,0)</f>
        <v>15261</v>
      </c>
      <c r="H5" s="22">
        <v>2600</v>
      </c>
      <c r="I5" s="24">
        <f t="shared" ref="I5:I12" si="1">SUM(D5:H5)</f>
        <v>323086</v>
      </c>
      <c r="J5" s="24">
        <f>ROUNDDOWN((D5+E5+F5+G5)*$J$3,0)</f>
        <v>16024</v>
      </c>
      <c r="K5" s="24">
        <f t="shared" ref="K5:K12" si="2">ROUNDDOWN((D5+E5+F5+G5+J5)*$K$3,0)</f>
        <v>479526</v>
      </c>
      <c r="L5" s="24">
        <f>ROUNDDOWN((D5+E5+F5+G5+J5)*$L$3,0)</f>
        <v>344922</v>
      </c>
      <c r="M5" s="24">
        <f t="shared" ref="M5:M12" si="3">SUM(K5:L5)</f>
        <v>824448</v>
      </c>
      <c r="N5" s="24">
        <f t="shared" ref="N5:N12" si="4">I5*12+M5</f>
        <v>4701480</v>
      </c>
    </row>
    <row r="6" spans="1:16" s="13" customFormat="1" ht="15" customHeight="1" x14ac:dyDescent="0.4">
      <c r="B6" s="14" t="s">
        <v>70</v>
      </c>
      <c r="C6" s="25">
        <v>288900</v>
      </c>
      <c r="D6" s="23">
        <f t="shared" si="0"/>
        <v>290691</v>
      </c>
      <c r="E6" s="25">
        <v>11100</v>
      </c>
      <c r="F6" s="23">
        <f>ROUNDDOWN(D6*$F$3,0)</f>
        <v>14534</v>
      </c>
      <c r="G6" s="23">
        <f t="shared" ref="G6:G12" si="5">ROUNDDOWN((D6+E6+F6)*$G$3,0)</f>
        <v>15816</v>
      </c>
      <c r="H6" s="25">
        <v>2600</v>
      </c>
      <c r="I6" s="24">
        <f t="shared" si="1"/>
        <v>334741</v>
      </c>
      <c r="J6" s="24">
        <f>ROUNDDOWN((D6+E6+F6+G6)*$J$3,0)</f>
        <v>16607</v>
      </c>
      <c r="K6" s="24">
        <f t="shared" si="2"/>
        <v>496965</v>
      </c>
      <c r="L6" s="24">
        <f t="shared" ref="L6:L12" si="6">ROUNDDOWN((D6+E6+F6+G6+J6)*$L$3,0)</f>
        <v>357466</v>
      </c>
      <c r="M6" s="24">
        <f t="shared" si="3"/>
        <v>854431</v>
      </c>
      <c r="N6" s="24">
        <f t="shared" si="4"/>
        <v>4871323</v>
      </c>
    </row>
    <row r="7" spans="1:16" s="13" customFormat="1" ht="15" customHeight="1" x14ac:dyDescent="0.4">
      <c r="B7" s="14" t="s">
        <v>71</v>
      </c>
      <c r="C7" s="23">
        <v>285800</v>
      </c>
      <c r="D7" s="23">
        <f t="shared" si="0"/>
        <v>287571</v>
      </c>
      <c r="E7" s="23"/>
      <c r="F7" s="23">
        <f>ROUNDDOWN(D7*$F$3,0)</f>
        <v>14378</v>
      </c>
      <c r="G7" s="23">
        <f t="shared" si="5"/>
        <v>15097</v>
      </c>
      <c r="H7" s="23">
        <v>2600</v>
      </c>
      <c r="I7" s="24">
        <f t="shared" si="1"/>
        <v>319646</v>
      </c>
      <c r="J7" s="24">
        <f>ROUNDDOWN((D7+E7+F7+G7)*$J$3,0)</f>
        <v>15852</v>
      </c>
      <c r="K7" s="24">
        <f t="shared" si="2"/>
        <v>474379</v>
      </c>
      <c r="L7" s="24">
        <f t="shared" si="6"/>
        <v>341220</v>
      </c>
      <c r="M7" s="24">
        <f t="shared" si="3"/>
        <v>815599</v>
      </c>
      <c r="N7" s="24">
        <f t="shared" si="4"/>
        <v>4651351</v>
      </c>
    </row>
    <row r="8" spans="1:16" s="13" customFormat="1" ht="15" customHeight="1" x14ac:dyDescent="0.4">
      <c r="B8" s="14" t="s">
        <v>72</v>
      </c>
      <c r="C8" s="23">
        <v>269500</v>
      </c>
      <c r="D8" s="23">
        <f t="shared" si="0"/>
        <v>271170</v>
      </c>
      <c r="E8" s="23"/>
      <c r="F8" s="23"/>
      <c r="G8" s="23">
        <f t="shared" si="5"/>
        <v>13558</v>
      </c>
      <c r="H8" s="23"/>
      <c r="I8" s="24">
        <f t="shared" si="1"/>
        <v>284728</v>
      </c>
      <c r="J8" s="24">
        <f>ROUNDDOWN((D8+E8+F8+G8)*$J$3,0)</f>
        <v>14236</v>
      </c>
      <c r="K8" s="24">
        <f t="shared" si="2"/>
        <v>426023</v>
      </c>
      <c r="L8" s="24">
        <f t="shared" si="6"/>
        <v>306438</v>
      </c>
      <c r="M8" s="24">
        <f t="shared" si="3"/>
        <v>732461</v>
      </c>
      <c r="N8" s="24">
        <f t="shared" si="4"/>
        <v>4149197</v>
      </c>
    </row>
    <row r="9" spans="1:16" s="13" customFormat="1" ht="15" customHeight="1" x14ac:dyDescent="0.4">
      <c r="B9" s="14" t="s">
        <v>73</v>
      </c>
      <c r="C9" s="23">
        <v>271300</v>
      </c>
      <c r="D9" s="23">
        <f t="shared" si="0"/>
        <v>272982</v>
      </c>
      <c r="E9" s="23"/>
      <c r="F9" s="23"/>
      <c r="G9" s="23">
        <f t="shared" si="5"/>
        <v>13649</v>
      </c>
      <c r="H9" s="23"/>
      <c r="I9" s="24">
        <f t="shared" si="1"/>
        <v>286631</v>
      </c>
      <c r="J9" s="24">
        <f>ROUNDDOWN((D9+E9+F9+G9)*$J$3,0)</f>
        <v>14331</v>
      </c>
      <c r="K9" s="24">
        <f t="shared" si="2"/>
        <v>428870</v>
      </c>
      <c r="L9" s="24">
        <f t="shared" si="6"/>
        <v>308486</v>
      </c>
      <c r="M9" s="24">
        <f t="shared" si="3"/>
        <v>737356</v>
      </c>
      <c r="N9" s="24">
        <f t="shared" si="4"/>
        <v>4176928</v>
      </c>
    </row>
    <row r="10" spans="1:16" s="13" customFormat="1" ht="15" customHeight="1" x14ac:dyDescent="0.4">
      <c r="B10" s="14" t="s">
        <v>74</v>
      </c>
      <c r="C10" s="26">
        <v>247200</v>
      </c>
      <c r="D10" s="23">
        <f t="shared" si="0"/>
        <v>248732</v>
      </c>
      <c r="E10" s="23"/>
      <c r="F10" s="23">
        <f>ROUNDDOWN(D10*$F$3,0)</f>
        <v>12436</v>
      </c>
      <c r="G10" s="23">
        <f t="shared" si="5"/>
        <v>13058</v>
      </c>
      <c r="H10" s="23">
        <v>2200</v>
      </c>
      <c r="I10" s="24">
        <f t="shared" si="1"/>
        <v>276426</v>
      </c>
      <c r="J10" s="24"/>
      <c r="K10" s="24">
        <f t="shared" si="2"/>
        <v>390772</v>
      </c>
      <c r="L10" s="24">
        <f t="shared" si="6"/>
        <v>281081</v>
      </c>
      <c r="M10" s="24">
        <f t="shared" si="3"/>
        <v>671853</v>
      </c>
      <c r="N10" s="24">
        <f t="shared" si="4"/>
        <v>3988965</v>
      </c>
    </row>
    <row r="11" spans="1:16" s="13" customFormat="1" ht="15" customHeight="1" x14ac:dyDescent="0.4">
      <c r="B11" s="14" t="s">
        <v>75</v>
      </c>
      <c r="C11" s="26">
        <v>247200</v>
      </c>
      <c r="D11" s="23">
        <f t="shared" si="0"/>
        <v>248732</v>
      </c>
      <c r="E11" s="23">
        <v>9000</v>
      </c>
      <c r="F11" s="23">
        <f>ROUNDDOWN(D11*$F$3,0)</f>
        <v>12436</v>
      </c>
      <c r="G11" s="23">
        <f t="shared" si="5"/>
        <v>13508</v>
      </c>
      <c r="H11" s="23">
        <v>2200</v>
      </c>
      <c r="I11" s="24">
        <f t="shared" si="1"/>
        <v>285876</v>
      </c>
      <c r="J11" s="24"/>
      <c r="K11" s="24">
        <f t="shared" si="2"/>
        <v>404238</v>
      </c>
      <c r="L11" s="24">
        <f t="shared" si="6"/>
        <v>290767</v>
      </c>
      <c r="M11" s="24">
        <f t="shared" si="3"/>
        <v>695005</v>
      </c>
      <c r="N11" s="24">
        <f t="shared" si="4"/>
        <v>4125517</v>
      </c>
    </row>
    <row r="12" spans="1:16" s="13" customFormat="1" ht="15" customHeight="1" x14ac:dyDescent="0.4">
      <c r="B12" s="14" t="s">
        <v>76</v>
      </c>
      <c r="C12" s="26">
        <v>235900</v>
      </c>
      <c r="D12" s="23">
        <f t="shared" si="0"/>
        <v>237362</v>
      </c>
      <c r="E12" s="23"/>
      <c r="F12" s="23"/>
      <c r="G12" s="23">
        <f t="shared" si="5"/>
        <v>11868</v>
      </c>
      <c r="H12" s="23"/>
      <c r="I12" s="24">
        <f t="shared" si="1"/>
        <v>249230</v>
      </c>
      <c r="J12" s="24">
        <f>ROUNDDOWN((D12+E12+F12+G12)*$J$3,0)</f>
        <v>12461</v>
      </c>
      <c r="K12" s="24">
        <f t="shared" si="2"/>
        <v>372909</v>
      </c>
      <c r="L12" s="24">
        <f t="shared" si="6"/>
        <v>268233</v>
      </c>
      <c r="M12" s="24">
        <f t="shared" si="3"/>
        <v>641142</v>
      </c>
      <c r="N12" s="24">
        <f t="shared" si="4"/>
        <v>3631902</v>
      </c>
    </row>
    <row r="13" spans="1:16" ht="15" customHeight="1" x14ac:dyDescent="0.15"/>
    <row r="14" spans="1:16" ht="15" customHeight="1" x14ac:dyDescent="0.15">
      <c r="B14" s="6" t="s">
        <v>77</v>
      </c>
      <c r="C14" s="15" t="s">
        <v>78</v>
      </c>
      <c r="D14" s="4">
        <v>1.0062</v>
      </c>
      <c r="F14" s="8">
        <v>0.05</v>
      </c>
      <c r="G14" s="9">
        <v>0.05</v>
      </c>
      <c r="J14" s="8">
        <v>0.05</v>
      </c>
      <c r="K14" s="10">
        <f>K3</f>
        <v>1.425</v>
      </c>
      <c r="L14" s="10">
        <f>L3</f>
        <v>1.0249999999999999</v>
      </c>
      <c r="M14" s="10">
        <f>M3</f>
        <v>2.4500000000000002</v>
      </c>
    </row>
    <row r="15" spans="1:16" s="13" customFormat="1" ht="15" customHeight="1" thickBot="1" x14ac:dyDescent="0.45">
      <c r="B15" s="11"/>
      <c r="C15" s="12" t="s">
        <v>57</v>
      </c>
      <c r="D15" s="12" t="s">
        <v>58</v>
      </c>
      <c r="E15" s="12" t="s">
        <v>59</v>
      </c>
      <c r="F15" s="12" t="s">
        <v>60</v>
      </c>
      <c r="G15" s="12" t="s">
        <v>61</v>
      </c>
      <c r="H15" s="12" t="s">
        <v>62</v>
      </c>
      <c r="I15" s="12" t="s">
        <v>63</v>
      </c>
      <c r="J15" s="12" t="s">
        <v>64</v>
      </c>
      <c r="K15" s="12" t="s">
        <v>65</v>
      </c>
      <c r="L15" s="12" t="s">
        <v>66</v>
      </c>
      <c r="M15" s="12" t="s">
        <v>67</v>
      </c>
      <c r="N15" s="12" t="s">
        <v>68</v>
      </c>
      <c r="P15" s="13" t="s">
        <v>99</v>
      </c>
    </row>
    <row r="16" spans="1:16" s="13" customFormat="1" ht="15" customHeight="1" thickTop="1" x14ac:dyDescent="0.4">
      <c r="A16" s="13">
        <v>12</v>
      </c>
      <c r="B16" s="21" t="s">
        <v>69</v>
      </c>
      <c r="C16" s="27">
        <f t="shared" ref="C16:D18" si="7">ROUNDDOWN(C5*1165/2325,0)</f>
        <v>144760</v>
      </c>
      <c r="D16" s="28">
        <f t="shared" si="7"/>
        <v>145658</v>
      </c>
      <c r="E16" s="29"/>
      <c r="F16" s="28">
        <f>ROUNDDOWN(D16*$F$14,0)</f>
        <v>7282</v>
      </c>
      <c r="G16" s="28">
        <f t="shared" ref="G16:G25" si="8">ROUNDDOWN((D16+E16+F16)*$G$14,0)</f>
        <v>7647</v>
      </c>
      <c r="H16" s="30">
        <f>ROUNDDOWN(H5*1165/2325,0)</f>
        <v>1302</v>
      </c>
      <c r="I16" s="24">
        <f t="shared" ref="I16:I25" si="9">SUM(D16:H16)</f>
        <v>161889</v>
      </c>
      <c r="J16" s="24">
        <f>ROUNDDOWN((D16+E16+F16+G16)*$J$14,0)</f>
        <v>8029</v>
      </c>
      <c r="K16" s="24">
        <f>ROUNDDOWN((D16+E16+F16+G16+J16)*$K$14,0)</f>
        <v>240277</v>
      </c>
      <c r="L16" s="24">
        <f>ROUNDDOWN((D16+E16+F16+G16+J16)*$L$14,0)</f>
        <v>172831</v>
      </c>
      <c r="M16" s="31">
        <f t="shared" ref="M16:M25" si="10">SUM(K16:L16)</f>
        <v>413108</v>
      </c>
      <c r="N16" s="24">
        <f t="shared" ref="N16:N25" si="11">I16*12+M16</f>
        <v>2355776</v>
      </c>
      <c r="P16" s="37" t="e">
        <f>VLOOKUP(試算!E15&amp;試算!E17,リスト!C:D,2,FALSE)</f>
        <v>#N/A</v>
      </c>
    </row>
    <row r="17" spans="1:14" s="13" customFormat="1" ht="15" customHeight="1" x14ac:dyDescent="0.4">
      <c r="A17" s="13">
        <v>22</v>
      </c>
      <c r="B17" s="14" t="s">
        <v>70</v>
      </c>
      <c r="C17" s="27">
        <f t="shared" si="7"/>
        <v>144760</v>
      </c>
      <c r="D17" s="28">
        <f t="shared" si="7"/>
        <v>145658</v>
      </c>
      <c r="E17" s="32">
        <f>ROUNDDOWN(8200*1165/2325,0)</f>
        <v>4108</v>
      </c>
      <c r="F17" s="23">
        <f>ROUNDDOWN(D17*$F$14,0)</f>
        <v>7282</v>
      </c>
      <c r="G17" s="23">
        <f t="shared" si="8"/>
        <v>7852</v>
      </c>
      <c r="H17" s="30">
        <f>ROUNDDOWN(H6*1165/2325,0)</f>
        <v>1302</v>
      </c>
      <c r="I17" s="24">
        <f t="shared" si="9"/>
        <v>166202</v>
      </c>
      <c r="J17" s="24">
        <f>ROUNDDOWN((D17+E17+F17+G17)*$J$14,0)</f>
        <v>8245</v>
      </c>
      <c r="K17" s="24">
        <f>ROUNDDOWN((D17+E17+F17+G17+J17)*$K$14,0)</f>
        <v>246731</v>
      </c>
      <c r="L17" s="24">
        <f t="shared" ref="L17:L25" si="12">ROUNDDOWN((D17+E17+F17+G17+J17)*$L$14,0)</f>
        <v>177473</v>
      </c>
      <c r="M17" s="33">
        <f t="shared" si="10"/>
        <v>424204</v>
      </c>
      <c r="N17" s="24">
        <f t="shared" si="11"/>
        <v>2418628</v>
      </c>
    </row>
    <row r="18" spans="1:14" s="13" customFormat="1" ht="15" customHeight="1" x14ac:dyDescent="0.4">
      <c r="A18" s="13">
        <v>32</v>
      </c>
      <c r="B18" s="14" t="s">
        <v>71</v>
      </c>
      <c r="C18" s="27">
        <f t="shared" si="7"/>
        <v>143207</v>
      </c>
      <c r="D18" s="28">
        <f>ROUNDDOWN(D7*1165/2325,0)</f>
        <v>144094</v>
      </c>
      <c r="E18" s="32"/>
      <c r="F18" s="23">
        <f>ROUNDDOWN(D18*$F$14,0)</f>
        <v>7204</v>
      </c>
      <c r="G18" s="23">
        <f>ROUNDDOWN((D18+E18+F18)*$G$14,0)</f>
        <v>7564</v>
      </c>
      <c r="H18" s="30">
        <f>ROUNDDOWN(H7*1165/2325,0)</f>
        <v>1302</v>
      </c>
      <c r="I18" s="24">
        <f>SUM(D18:H18)</f>
        <v>160164</v>
      </c>
      <c r="J18" s="24">
        <f>ROUNDDOWN((D18+E18+F18+G18)*$J$14,0)</f>
        <v>7943</v>
      </c>
      <c r="K18" s="24">
        <f>ROUNDDOWN((D18+E18+F18+G18+J18)*$K$14,0)</f>
        <v>237697</v>
      </c>
      <c r="L18" s="24">
        <f t="shared" si="12"/>
        <v>170975</v>
      </c>
      <c r="M18" s="33">
        <f t="shared" si="10"/>
        <v>408672</v>
      </c>
      <c r="N18" s="24">
        <f t="shared" si="11"/>
        <v>2330640</v>
      </c>
    </row>
    <row r="19" spans="1:14" s="13" customFormat="1" ht="15" customHeight="1" x14ac:dyDescent="0.4">
      <c r="A19" s="13">
        <v>33</v>
      </c>
      <c r="B19" s="14" t="s">
        <v>85</v>
      </c>
      <c r="C19" s="27">
        <f t="shared" ref="C19:D20" si="13">ROUNDDOWN(C7*1165/2325,0)</f>
        <v>143207</v>
      </c>
      <c r="D19" s="28">
        <f t="shared" si="13"/>
        <v>144094</v>
      </c>
      <c r="E19" s="32">
        <f>ROUNDDOWN(8100*1165/2325,0)</f>
        <v>4058</v>
      </c>
      <c r="F19" s="23">
        <f>ROUNDDOWN(D18*$F$14,0)</f>
        <v>7204</v>
      </c>
      <c r="G19" s="23">
        <f>ROUNDDOWN((D18+E18+F18)*$G$14,0)</f>
        <v>7564</v>
      </c>
      <c r="H19" s="30">
        <f>ROUNDDOWN(H7*1165/2325,0)</f>
        <v>1302</v>
      </c>
      <c r="I19" s="24">
        <f>SUM(D19:H19)</f>
        <v>164222</v>
      </c>
      <c r="J19" s="24">
        <f>ROUNDDOWN((D18+E18+F18+G18)*$J$14,0)</f>
        <v>7943</v>
      </c>
      <c r="K19" s="24">
        <f>ROUNDDOWN((D18+E18+F18+G18+J18)*$K$14,0)</f>
        <v>237697</v>
      </c>
      <c r="L19" s="24">
        <f t="shared" si="12"/>
        <v>175134</v>
      </c>
      <c r="M19" s="33">
        <f t="shared" ref="M19" si="14">SUM(K19:L19)</f>
        <v>412831</v>
      </c>
      <c r="N19" s="24">
        <f t="shared" ref="N19" si="15">I19*12+M19</f>
        <v>2383495</v>
      </c>
    </row>
    <row r="20" spans="1:14" s="13" customFormat="1" ht="15" customHeight="1" x14ac:dyDescent="0.4">
      <c r="A20" s="13">
        <v>43</v>
      </c>
      <c r="B20" s="14" t="s">
        <v>72</v>
      </c>
      <c r="C20" s="27">
        <f>ROUNDDOWN(C8*1165/2325,0)</f>
        <v>135039</v>
      </c>
      <c r="D20" s="28">
        <f t="shared" si="13"/>
        <v>135876</v>
      </c>
      <c r="E20" s="32"/>
      <c r="F20" s="23"/>
      <c r="G20" s="23">
        <f t="shared" si="8"/>
        <v>6793</v>
      </c>
      <c r="H20" s="34"/>
      <c r="I20" s="24">
        <f t="shared" si="9"/>
        <v>142669</v>
      </c>
      <c r="J20" s="24">
        <f>ROUNDDOWN((D20+E20+F20+G20)*$J$14,0)</f>
        <v>7133</v>
      </c>
      <c r="K20" s="24">
        <f>ROUNDDOWN((D20+E20+F20+G20+J20)*$K$14,0)</f>
        <v>213467</v>
      </c>
      <c r="L20" s="24">
        <f t="shared" si="12"/>
        <v>153547</v>
      </c>
      <c r="M20" s="33">
        <f t="shared" si="10"/>
        <v>367014</v>
      </c>
      <c r="N20" s="24">
        <f t="shared" si="11"/>
        <v>2079042</v>
      </c>
    </row>
    <row r="21" spans="1:14" s="13" customFormat="1" ht="15" customHeight="1" x14ac:dyDescent="0.4">
      <c r="A21" s="13">
        <v>44</v>
      </c>
      <c r="B21" s="14" t="s">
        <v>134</v>
      </c>
      <c r="C21" s="27">
        <f t="shared" ref="C21:D25" si="16">ROUNDDOWN(C8*1165/2325,0)</f>
        <v>135039</v>
      </c>
      <c r="D21" s="28">
        <f t="shared" si="16"/>
        <v>135876</v>
      </c>
      <c r="E21" s="32">
        <f>ROUNDDOWN((7700*3)*1165/2325,0)</f>
        <v>11574</v>
      </c>
      <c r="F21" s="23"/>
      <c r="G21" s="23">
        <f t="shared" si="8"/>
        <v>7372</v>
      </c>
      <c r="H21" s="34"/>
      <c r="I21" s="24">
        <f>SUM(D21:H21)</f>
        <v>154822</v>
      </c>
      <c r="J21" s="24">
        <f>ROUNDDOWN((D21+E21+F21+G21)*$J$14,0)</f>
        <v>7741</v>
      </c>
      <c r="K21" s="24">
        <f>ROUNDDOWN((D21+E21+F21+G21+J21)*$K$14,0)</f>
        <v>231652</v>
      </c>
      <c r="L21" s="24">
        <f t="shared" ref="L21" si="17">ROUNDDOWN((D21+E21+F21+G21+J21)*$L$14,0)</f>
        <v>166627</v>
      </c>
      <c r="M21" s="33">
        <f t="shared" ref="M21" si="18">SUM(K21:L21)</f>
        <v>398279</v>
      </c>
      <c r="N21" s="24">
        <f t="shared" ref="N21" si="19">I21*12+M21</f>
        <v>2256143</v>
      </c>
    </row>
    <row r="22" spans="1:14" ht="15" customHeight="1" x14ac:dyDescent="0.15">
      <c r="A22" s="4">
        <v>54</v>
      </c>
      <c r="B22" s="14" t="s">
        <v>73</v>
      </c>
      <c r="C22" s="27">
        <f t="shared" si="16"/>
        <v>135941</v>
      </c>
      <c r="D22" s="28">
        <f t="shared" si="16"/>
        <v>136784</v>
      </c>
      <c r="E22" s="35"/>
      <c r="F22" s="23"/>
      <c r="G22" s="23">
        <f t="shared" si="8"/>
        <v>6839</v>
      </c>
      <c r="H22" s="35"/>
      <c r="I22" s="24">
        <f t="shared" si="9"/>
        <v>143623</v>
      </c>
      <c r="J22" s="24">
        <f>ROUNDDOWN((D22+E22+F22+G22)*$J$14,0)</f>
        <v>7181</v>
      </c>
      <c r="K22" s="24">
        <f t="shared" ref="K22:K25" si="20">ROUNDDOWN((D22+E22+F22+G22+J22)*$K$14,0)</f>
        <v>214895</v>
      </c>
      <c r="L22" s="24">
        <f t="shared" si="12"/>
        <v>154574</v>
      </c>
      <c r="M22" s="33">
        <f t="shared" si="10"/>
        <v>369469</v>
      </c>
      <c r="N22" s="24">
        <f t="shared" si="11"/>
        <v>2092945</v>
      </c>
    </row>
    <row r="23" spans="1:14" ht="15" customHeight="1" x14ac:dyDescent="0.15">
      <c r="A23" s="4">
        <v>11</v>
      </c>
      <c r="B23" s="14" t="s">
        <v>74</v>
      </c>
      <c r="C23" s="27">
        <f t="shared" si="16"/>
        <v>123865</v>
      </c>
      <c r="D23" s="28">
        <f t="shared" si="16"/>
        <v>124633</v>
      </c>
      <c r="E23" s="35"/>
      <c r="F23" s="23">
        <f>ROUNDDOWN(D23*$F$14,0)</f>
        <v>6231</v>
      </c>
      <c r="G23" s="23">
        <f t="shared" si="8"/>
        <v>6543</v>
      </c>
      <c r="H23" s="30">
        <f>ROUNDDOWN(H10*1165/2325,0)</f>
        <v>1102</v>
      </c>
      <c r="I23" s="24">
        <f t="shared" si="9"/>
        <v>138509</v>
      </c>
      <c r="J23" s="24"/>
      <c r="K23" s="24">
        <f t="shared" si="20"/>
        <v>195804</v>
      </c>
      <c r="L23" s="24">
        <f t="shared" si="12"/>
        <v>140842</v>
      </c>
      <c r="M23" s="33">
        <f t="shared" si="10"/>
        <v>336646</v>
      </c>
      <c r="N23" s="24">
        <f t="shared" si="11"/>
        <v>1998754</v>
      </c>
    </row>
    <row r="24" spans="1:14" ht="15" customHeight="1" x14ac:dyDescent="0.15">
      <c r="A24" s="4">
        <v>21</v>
      </c>
      <c r="B24" s="14" t="s">
        <v>75</v>
      </c>
      <c r="C24" s="27">
        <f t="shared" si="16"/>
        <v>123865</v>
      </c>
      <c r="D24" s="28">
        <f t="shared" si="16"/>
        <v>124633</v>
      </c>
      <c r="E24" s="32">
        <f>ROUNDDOWN(7000*1165/2325,0)</f>
        <v>3507</v>
      </c>
      <c r="F24" s="23">
        <f>ROUNDDOWN(D24*$F$14,0)</f>
        <v>6231</v>
      </c>
      <c r="G24" s="23">
        <f t="shared" si="8"/>
        <v>6718</v>
      </c>
      <c r="H24" s="30">
        <f>ROUNDDOWN(H11*1165/2325,0)</f>
        <v>1102</v>
      </c>
      <c r="I24" s="24">
        <f t="shared" si="9"/>
        <v>142191</v>
      </c>
      <c r="J24" s="24"/>
      <c r="K24" s="24">
        <f t="shared" si="20"/>
        <v>201051</v>
      </c>
      <c r="L24" s="24">
        <f t="shared" si="12"/>
        <v>144616</v>
      </c>
      <c r="M24" s="33">
        <f t="shared" si="10"/>
        <v>345667</v>
      </c>
      <c r="N24" s="24">
        <f t="shared" si="11"/>
        <v>2051959</v>
      </c>
    </row>
    <row r="25" spans="1:14" ht="15" customHeight="1" x14ac:dyDescent="0.15">
      <c r="A25" s="4">
        <v>62</v>
      </c>
      <c r="B25" s="14" t="s">
        <v>76</v>
      </c>
      <c r="C25" s="36">
        <f t="shared" si="16"/>
        <v>118203</v>
      </c>
      <c r="D25" s="28">
        <f t="shared" si="16"/>
        <v>118936</v>
      </c>
      <c r="E25" s="35"/>
      <c r="F25" s="23"/>
      <c r="G25" s="23">
        <f t="shared" si="8"/>
        <v>5946</v>
      </c>
      <c r="H25" s="35"/>
      <c r="I25" s="24">
        <f t="shared" si="9"/>
        <v>124882</v>
      </c>
      <c r="J25" s="24">
        <f>ROUNDDOWN((D25+E25+F25+G25)*$J$14,0)</f>
        <v>6244</v>
      </c>
      <c r="K25" s="24">
        <f t="shared" si="20"/>
        <v>186854</v>
      </c>
      <c r="L25" s="24">
        <f t="shared" si="12"/>
        <v>134404</v>
      </c>
      <c r="M25" s="33">
        <f t="shared" si="10"/>
        <v>321258</v>
      </c>
      <c r="N25" s="24">
        <f t="shared" si="11"/>
        <v>1819842</v>
      </c>
    </row>
    <row r="26" spans="1:14" ht="15" customHeight="1" x14ac:dyDescent="0.15">
      <c r="A26" s="4">
        <v>71</v>
      </c>
      <c r="B26" s="14" t="s">
        <v>135</v>
      </c>
      <c r="C26" s="36">
        <f>ROUNDDOWN(C12*1165/2325,0)</f>
        <v>118203</v>
      </c>
      <c r="D26" s="28">
        <f>ROUNDDOWN(D12*1165/2325,0)</f>
        <v>118936</v>
      </c>
      <c r="E26" s="104">
        <f>ROUNDDOWN((6700*2)*1165/2325,0)</f>
        <v>6714</v>
      </c>
      <c r="F26" s="23"/>
      <c r="G26" s="23">
        <f t="shared" ref="G26" si="21">ROUNDDOWN((D26+E26+F26)*$G$14,0)</f>
        <v>6282</v>
      </c>
      <c r="H26" s="35"/>
      <c r="I26" s="24">
        <f t="shared" ref="I26" si="22">SUM(D26:H26)</f>
        <v>131932</v>
      </c>
      <c r="J26" s="24">
        <f t="shared" ref="J26" si="23">ROUNDDOWN((D26+E26+F26+G26)*$J$14,0)</f>
        <v>6596</v>
      </c>
      <c r="K26" s="24">
        <f t="shared" ref="K26" si="24">ROUNDDOWN((D26+E26+F26+G26+J26)*$K$14,0)</f>
        <v>197402</v>
      </c>
      <c r="L26" s="24">
        <f t="shared" ref="L26" si="25">ROUNDDOWN((D26+E26+F26+G26+J26)*$L$14,0)</f>
        <v>141991</v>
      </c>
      <c r="M26" s="33">
        <f t="shared" ref="M26" si="26">SUM(K26:L26)</f>
        <v>339393</v>
      </c>
      <c r="N26" s="24">
        <f t="shared" ref="N26" si="27">I26*12+M26</f>
        <v>1922577</v>
      </c>
    </row>
    <row r="27" spans="1:14" x14ac:dyDescent="0.15">
      <c r="B27" s="97"/>
      <c r="C27" s="98"/>
      <c r="D27" s="99"/>
      <c r="E27" s="103"/>
      <c r="F27" s="99"/>
      <c r="G27" s="99"/>
      <c r="H27" s="100"/>
      <c r="I27" s="24"/>
      <c r="J27" s="24"/>
      <c r="K27" s="24"/>
      <c r="L27" s="24"/>
      <c r="M27" s="101"/>
      <c r="N27" s="102"/>
    </row>
    <row r="28" spans="1:14" ht="15" customHeight="1" x14ac:dyDescent="0.15">
      <c r="C28" s="16"/>
      <c r="I28" s="17"/>
      <c r="J28" s="18" t="s">
        <v>79</v>
      </c>
      <c r="K28" s="18" t="s">
        <v>80</v>
      </c>
      <c r="L28" s="19" t="s">
        <v>81</v>
      </c>
    </row>
    <row r="29" spans="1:14" ht="15" customHeight="1" x14ac:dyDescent="0.15">
      <c r="I29" s="19" t="s">
        <v>82</v>
      </c>
      <c r="J29" s="108">
        <v>71.25</v>
      </c>
      <c r="K29" s="108">
        <v>51.25</v>
      </c>
      <c r="L29" s="20">
        <f>SUM(J29:K29)</f>
        <v>122.5</v>
      </c>
    </row>
    <row r="30" spans="1:14" ht="15" customHeight="1" x14ac:dyDescent="0.15">
      <c r="I30" s="19" t="s">
        <v>83</v>
      </c>
      <c r="J30" s="108">
        <v>71.25</v>
      </c>
      <c r="K30" s="108">
        <v>51.25</v>
      </c>
      <c r="L30" s="20">
        <f>SUM(J30:K30)</f>
        <v>122.5</v>
      </c>
    </row>
    <row r="31" spans="1:14" ht="15" customHeight="1" x14ac:dyDescent="0.15">
      <c r="I31" s="19" t="s">
        <v>81</v>
      </c>
      <c r="J31" s="20">
        <f>SUM(J29:J30)</f>
        <v>142.5</v>
      </c>
      <c r="K31" s="20">
        <f>SUM(K29:K30)</f>
        <v>102.5</v>
      </c>
      <c r="L31" s="20">
        <f>SUM(L29:L30)</f>
        <v>245</v>
      </c>
    </row>
    <row r="32" spans="1:14" ht="15" customHeight="1" x14ac:dyDescent="0.15">
      <c r="I32" s="118" t="s">
        <v>84</v>
      </c>
      <c r="J32" s="118"/>
      <c r="K32" s="118"/>
      <c r="L32" s="118"/>
      <c r="M32" s="118"/>
      <c r="N32" s="118"/>
    </row>
    <row r="33" spans="9:9" ht="15" customHeight="1" x14ac:dyDescent="0.15">
      <c r="I33" s="6" t="s">
        <v>153</v>
      </c>
    </row>
  </sheetData>
  <mergeCells count="1">
    <mergeCell ref="I32:N32"/>
  </mergeCells>
  <phoneticPr fontId="2"/>
  <pageMargins left="0.39370078740157483" right="0.39370078740157483" top="0.98425196850393704" bottom="0.98425196850393704" header="0.51181102362204722" footer="0.51181102362204722"/>
  <pageSetup paperSize="9" scale="71" firstPageNumber="0" fitToHeight="0" orientation="landscape" useFirstPageNumber="1" r:id="rId1"/>
  <headerFooter alignWithMargins="0"/>
  <ignoredErrors>
    <ignoredError sqref="C2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D1" workbookViewId="0">
      <selection activeCell="I3" sqref="I3"/>
    </sheetView>
  </sheetViews>
  <sheetFormatPr defaultRowHeight="18.75" x14ac:dyDescent="0.4"/>
  <cols>
    <col min="1" max="1" width="12.375" customWidth="1"/>
    <col min="2" max="2" width="14.25" customWidth="1"/>
    <col min="3" max="3" width="25" customWidth="1"/>
    <col min="4" max="5" width="13" customWidth="1"/>
    <col min="6" max="6" width="13" bestFit="1" customWidth="1"/>
    <col min="7" max="7" width="18.125" customWidth="1"/>
    <col min="8" max="8" width="17.25" customWidth="1"/>
  </cols>
  <sheetData>
    <row r="1" spans="1:10" x14ac:dyDescent="0.4">
      <c r="A1" t="s">
        <v>86</v>
      </c>
      <c r="B1" s="2" t="s">
        <v>15</v>
      </c>
      <c r="C1" s="2" t="s">
        <v>91</v>
      </c>
      <c r="D1" s="2" t="s">
        <v>93</v>
      </c>
      <c r="E1" s="2" t="s">
        <v>53</v>
      </c>
      <c r="F1" t="s">
        <v>28</v>
      </c>
      <c r="G1" t="s">
        <v>87</v>
      </c>
      <c r="H1" s="2" t="s">
        <v>118</v>
      </c>
      <c r="I1" t="s">
        <v>50</v>
      </c>
      <c r="J1" t="s">
        <v>51</v>
      </c>
    </row>
    <row r="2" spans="1:10" x14ac:dyDescent="0.4">
      <c r="A2" t="s">
        <v>88</v>
      </c>
      <c r="B2" t="s">
        <v>16</v>
      </c>
      <c r="C2" t="str">
        <f>$A$2&amp;B2</f>
        <v>高校校長</v>
      </c>
      <c r="D2">
        <v>12</v>
      </c>
      <c r="E2" s="1">
        <v>0.1</v>
      </c>
      <c r="I2">
        <v>2.5249999999999999</v>
      </c>
      <c r="J2">
        <v>2.125</v>
      </c>
    </row>
    <row r="3" spans="1:10" x14ac:dyDescent="0.4">
      <c r="A3" t="s">
        <v>89</v>
      </c>
      <c r="B3" t="s">
        <v>17</v>
      </c>
      <c r="C3" t="str">
        <f t="shared" ref="C3:C4" si="0">$A$2&amp;B3</f>
        <v>高校副校長</v>
      </c>
      <c r="D3">
        <v>12</v>
      </c>
      <c r="E3" s="1">
        <v>0.1</v>
      </c>
      <c r="F3">
        <v>1</v>
      </c>
      <c r="G3" t="s">
        <v>119</v>
      </c>
      <c r="H3" s="95">
        <v>11100</v>
      </c>
    </row>
    <row r="4" spans="1:10" x14ac:dyDescent="0.4">
      <c r="A4" t="s">
        <v>90</v>
      </c>
      <c r="B4" t="s">
        <v>18</v>
      </c>
      <c r="C4" t="str">
        <f t="shared" si="0"/>
        <v>高校教頭</v>
      </c>
      <c r="D4">
        <v>12</v>
      </c>
      <c r="E4" s="1">
        <v>0.1</v>
      </c>
      <c r="G4" t="s">
        <v>120</v>
      </c>
      <c r="H4" s="95">
        <v>9000</v>
      </c>
    </row>
    <row r="5" spans="1:10" x14ac:dyDescent="0.4">
      <c r="B5" t="s">
        <v>19</v>
      </c>
      <c r="C5" t="str">
        <f>$A$2&amp;B6</f>
        <v>高校教諭</v>
      </c>
      <c r="D5">
        <v>12</v>
      </c>
      <c r="E5" s="1">
        <v>0.1</v>
      </c>
      <c r="G5" t="s">
        <v>123</v>
      </c>
      <c r="H5" s="95">
        <v>11000</v>
      </c>
    </row>
    <row r="6" spans="1:10" x14ac:dyDescent="0.4">
      <c r="B6" t="s">
        <v>20</v>
      </c>
      <c r="C6" t="str">
        <f t="shared" ref="C6:C9" si="1">$A$2&amp;B7</f>
        <v>高校養護教諭</v>
      </c>
      <c r="D6">
        <v>12</v>
      </c>
      <c r="E6" s="1">
        <v>0.1</v>
      </c>
      <c r="G6" t="s">
        <v>126</v>
      </c>
      <c r="H6" s="95">
        <v>8400</v>
      </c>
    </row>
    <row r="7" spans="1:10" x14ac:dyDescent="0.4">
      <c r="B7" t="s">
        <v>21</v>
      </c>
      <c r="C7" t="str">
        <f t="shared" si="1"/>
        <v>高校栄養教諭</v>
      </c>
      <c r="D7">
        <v>12</v>
      </c>
      <c r="E7" s="1">
        <v>0.1</v>
      </c>
      <c r="G7" t="s">
        <v>121</v>
      </c>
      <c r="H7" s="95">
        <f>10600*3</f>
        <v>31800</v>
      </c>
    </row>
    <row r="8" spans="1:10" x14ac:dyDescent="0.4">
      <c r="B8" t="s">
        <v>22</v>
      </c>
      <c r="C8" t="str">
        <f t="shared" si="1"/>
        <v>高校講師</v>
      </c>
      <c r="D8">
        <v>12</v>
      </c>
      <c r="E8" s="1">
        <v>0.1</v>
      </c>
      <c r="G8" t="s">
        <v>122</v>
      </c>
      <c r="H8" s="95">
        <f>10200*3</f>
        <v>30600</v>
      </c>
    </row>
    <row r="9" spans="1:10" x14ac:dyDescent="0.4">
      <c r="B9" t="s">
        <v>23</v>
      </c>
      <c r="C9" t="str">
        <f t="shared" si="1"/>
        <v>高校実習助手</v>
      </c>
      <c r="D9">
        <v>11</v>
      </c>
      <c r="E9" s="1">
        <v>0.1</v>
      </c>
      <c r="G9" t="s">
        <v>127</v>
      </c>
      <c r="H9" s="95">
        <f>10200*2</f>
        <v>20400</v>
      </c>
    </row>
    <row r="10" spans="1:10" x14ac:dyDescent="0.4">
      <c r="B10" t="s">
        <v>24</v>
      </c>
      <c r="C10" t="str">
        <f>$A$3&amp;B2</f>
        <v>特別支援学校校長</v>
      </c>
      <c r="D10">
        <v>22</v>
      </c>
      <c r="E10" s="1">
        <v>0.05</v>
      </c>
      <c r="G10" t="s">
        <v>128</v>
      </c>
      <c r="H10" s="95">
        <f>8700*2</f>
        <v>17400</v>
      </c>
    </row>
    <row r="11" spans="1:10" x14ac:dyDescent="0.4">
      <c r="B11" t="s">
        <v>25</v>
      </c>
      <c r="C11" t="str">
        <f t="shared" ref="C11:C12" si="2">$A$3&amp;B3</f>
        <v>特別支援学校副校長</v>
      </c>
      <c r="D11">
        <v>22</v>
      </c>
      <c r="E11" s="1">
        <v>0.05</v>
      </c>
    </row>
    <row r="12" spans="1:10" x14ac:dyDescent="0.4">
      <c r="B12" t="s">
        <v>26</v>
      </c>
      <c r="C12" t="str">
        <f t="shared" si="2"/>
        <v>特別支援学校教頭</v>
      </c>
      <c r="D12">
        <v>22</v>
      </c>
      <c r="E12" s="1">
        <v>0.1</v>
      </c>
    </row>
    <row r="13" spans="1:10" x14ac:dyDescent="0.4">
      <c r="B13" t="s">
        <v>133</v>
      </c>
      <c r="C13" t="str">
        <f>$A$3&amp;B6</f>
        <v>特別支援学校教諭</v>
      </c>
      <c r="D13">
        <v>22</v>
      </c>
      <c r="E13" s="1">
        <v>0.1</v>
      </c>
    </row>
    <row r="14" spans="1:10" x14ac:dyDescent="0.4">
      <c r="B14" t="s">
        <v>27</v>
      </c>
      <c r="C14" t="str">
        <f t="shared" ref="C14:C18" si="3">$A$3&amp;B7</f>
        <v>特別支援学校養護教諭</v>
      </c>
      <c r="D14">
        <v>22</v>
      </c>
    </row>
    <row r="15" spans="1:10" x14ac:dyDescent="0.4">
      <c r="B15" t="s">
        <v>92</v>
      </c>
      <c r="C15" t="str">
        <f t="shared" si="3"/>
        <v>特別支援学校栄養教諭</v>
      </c>
      <c r="D15">
        <v>22</v>
      </c>
    </row>
    <row r="16" spans="1:10" x14ac:dyDescent="0.4">
      <c r="B16" t="s">
        <v>132</v>
      </c>
      <c r="C16" t="str">
        <f t="shared" si="3"/>
        <v>特別支援学校講師</v>
      </c>
      <c r="D16">
        <v>22</v>
      </c>
    </row>
    <row r="17" spans="3:4" x14ac:dyDescent="0.4">
      <c r="C17" t="str">
        <f t="shared" si="3"/>
        <v>特別支援学校実習助手</v>
      </c>
      <c r="D17">
        <v>21</v>
      </c>
    </row>
    <row r="18" spans="3:4" x14ac:dyDescent="0.4">
      <c r="C18" t="str">
        <f t="shared" si="3"/>
        <v>特別支援学校寄宿舎指導員</v>
      </c>
      <c r="D18">
        <v>21</v>
      </c>
    </row>
    <row r="19" spans="3:4" x14ac:dyDescent="0.4">
      <c r="C19" t="str">
        <f>$A$4&amp;B2</f>
        <v>小中学校校長</v>
      </c>
      <c r="D19">
        <v>32</v>
      </c>
    </row>
    <row r="20" spans="3:4" x14ac:dyDescent="0.4">
      <c r="C20" t="str">
        <f t="shared" ref="C20:C25" si="4">$A$4&amp;B3</f>
        <v>小中学校副校長</v>
      </c>
      <c r="D20">
        <v>32</v>
      </c>
    </row>
    <row r="21" spans="3:4" x14ac:dyDescent="0.4">
      <c r="C21" t="str">
        <f t="shared" si="4"/>
        <v>小中学校教頭</v>
      </c>
      <c r="D21">
        <v>32</v>
      </c>
    </row>
    <row r="22" spans="3:4" x14ac:dyDescent="0.4">
      <c r="C22" t="str">
        <f t="shared" si="4"/>
        <v>小中学校主幹教諭</v>
      </c>
      <c r="D22">
        <v>32</v>
      </c>
    </row>
    <row r="23" spans="3:4" x14ac:dyDescent="0.4">
      <c r="C23" t="str">
        <f t="shared" si="4"/>
        <v>小中学校教諭</v>
      </c>
      <c r="D23">
        <v>32</v>
      </c>
    </row>
    <row r="24" spans="3:4" x14ac:dyDescent="0.4">
      <c r="C24" t="str">
        <f t="shared" si="4"/>
        <v>小中学校養護教諭</v>
      </c>
      <c r="D24">
        <v>32</v>
      </c>
    </row>
    <row r="25" spans="3:4" x14ac:dyDescent="0.4">
      <c r="C25" t="str">
        <f t="shared" si="4"/>
        <v>小中学校栄養教諭</v>
      </c>
      <c r="D25">
        <v>32</v>
      </c>
    </row>
    <row r="26" spans="3:4" x14ac:dyDescent="0.4">
      <c r="C26" t="str">
        <f>$A$4&amp;B9</f>
        <v>小中学校講師</v>
      </c>
      <c r="D26">
        <v>32</v>
      </c>
    </row>
    <row r="27" spans="3:4" x14ac:dyDescent="0.4">
      <c r="C27" t="str">
        <f>A2&amp;B12</f>
        <v>高校行政職</v>
      </c>
      <c r="D27">
        <v>43</v>
      </c>
    </row>
    <row r="28" spans="3:4" x14ac:dyDescent="0.4">
      <c r="C28" t="str">
        <f>A3&amp;B12</f>
        <v>特別支援学校行政職</v>
      </c>
      <c r="D28">
        <v>43</v>
      </c>
    </row>
    <row r="29" spans="3:4" x14ac:dyDescent="0.4">
      <c r="C29" t="str">
        <f>A4&amp;B12</f>
        <v>小中学校行政職</v>
      </c>
      <c r="D29">
        <v>43</v>
      </c>
    </row>
    <row r="30" spans="3:4" x14ac:dyDescent="0.4">
      <c r="C30" t="str">
        <f>A2&amp;B13</f>
        <v>高校行政職（船員）</v>
      </c>
      <c r="D30">
        <v>44</v>
      </c>
    </row>
    <row r="31" spans="3:4" x14ac:dyDescent="0.4">
      <c r="C31" t="str">
        <f>A2&amp;B14</f>
        <v>高校栄養士</v>
      </c>
      <c r="D31">
        <v>54</v>
      </c>
    </row>
    <row r="32" spans="3:4" x14ac:dyDescent="0.4">
      <c r="C32" t="str">
        <f>A3&amp;B14</f>
        <v>特別支援学校栄養士</v>
      </c>
      <c r="D32">
        <v>54</v>
      </c>
    </row>
    <row r="33" spans="3:4" x14ac:dyDescent="0.4">
      <c r="C33" t="str">
        <f>A4&amp;B14</f>
        <v>小中学校栄養士</v>
      </c>
      <c r="D33">
        <v>54</v>
      </c>
    </row>
    <row r="34" spans="3:4" x14ac:dyDescent="0.4">
      <c r="C34" t="str">
        <f>A2&amp;B15</f>
        <v>高校労務職員</v>
      </c>
      <c r="D34">
        <v>62</v>
      </c>
    </row>
    <row r="35" spans="3:4" x14ac:dyDescent="0.4">
      <c r="C35" t="str">
        <f>A3&amp;B15</f>
        <v>特別支援学校労務職員</v>
      </c>
      <c r="D35">
        <v>62</v>
      </c>
    </row>
    <row r="36" spans="3:4" x14ac:dyDescent="0.4">
      <c r="C36" t="str">
        <f>A2&amp;B16</f>
        <v>高校労務職員（船員）</v>
      </c>
      <c r="D36">
        <v>71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試算</vt:lpstr>
      <vt:lpstr>年収比較</vt:lpstr>
      <vt:lpstr>定年前再任用短時間</vt:lpstr>
      <vt:lpstr>リスト</vt:lpstr>
      <vt:lpstr>試算!Print_Area</vt:lpstr>
      <vt:lpstr>年収比較!Print_Area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弘記</dc:creator>
  <cp:lastModifiedBy>斉藤　嶺</cp:lastModifiedBy>
  <cp:lastPrinted>2026-02-16T02:57:04Z</cp:lastPrinted>
  <dcterms:created xsi:type="dcterms:W3CDTF">2022-09-15T10:09:28Z</dcterms:created>
  <dcterms:modified xsi:type="dcterms:W3CDTF">2026-02-25T00:03:45Z</dcterms:modified>
</cp:coreProperties>
</file>