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625" yWindow="1170" windowWidth="16650" windowHeight="13980" tabRatio="718"/>
  </bookViews>
  <sheets>
    <sheet name="参考様式一覧表" sheetId="77" r:id="rId1"/>
    <sheet name="【参考】BCP特別保証" sheetId="86" r:id="rId2"/>
    <sheet name="参考様式１" sheetId="105" r:id="rId3"/>
    <sheet name="参考様式２" sheetId="80" r:id="rId4"/>
    <sheet name="参考様式３" sheetId="99" r:id="rId5"/>
    <sheet name="参考様式４" sheetId="100" r:id="rId6"/>
    <sheet name="参考様式５" sheetId="101" r:id="rId7"/>
    <sheet name="参考様式６" sheetId="102" r:id="rId8"/>
    <sheet name="参考様式７" sheetId="103" r:id="rId9"/>
    <sheet name="参考様式８" sheetId="89" r:id="rId10"/>
    <sheet name="参考様式９" sheetId="90" r:id="rId11"/>
    <sheet name="参考様式１０" sheetId="91" r:id="rId12"/>
    <sheet name="参考様式１１" sheetId="92" r:id="rId13"/>
    <sheet name="参考様式１２" sheetId="93" r:id="rId14"/>
    <sheet name="DV-IDENTITY-0" sheetId="34" state="veryHidden" r:id="rId15"/>
  </sheets>
  <definedNames>
    <definedName name="_xlnm.Print_Area" localSheetId="0">参考様式一覧表!$A$1:$G$14</definedName>
    <definedName name="_xlnm.Print_Area" localSheetId="3">参考様式２!$A$1:$P$22</definedName>
    <definedName name="_xlnm.Print_Area" localSheetId="10">参考様式９!$A$1:$D$11</definedName>
    <definedName name="_xlnm.Print_Area" localSheetId="11">参考様式１０!$A$1:$F$16</definedName>
    <definedName name="_xlnm.Print_Area" localSheetId="13">参考様式１２!$A$1:$I$39</definedName>
    <definedName name="_xlnm.Print_Area" localSheetId="4">参考様式３!$A$1:$I$52</definedName>
    <definedName name="_xlnm.Print_Area" localSheetId="8">参考様式７!$A$1:$B$12</definedName>
    <definedName name="_xlnm.Print_Area" localSheetId="2">参考様式１!$A$1:$N$21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<sst xmlns="http://schemas.openxmlformats.org/spreadsheetml/2006/main" xmlns:r="http://schemas.openxmlformats.org/officeDocument/2006/relationships" count="246" uniqueCount="246">
  <si>
    <t>安否確認</t>
    <rPh sb="0" eb="4">
      <t>アンピカクニン</t>
    </rPh>
    <phoneticPr fontId="1"/>
  </si>
  <si>
    <t>手元資金
（計）</t>
    <rPh sb="0" eb="4">
      <t>テモトシキン</t>
    </rPh>
    <rPh sb="6" eb="7">
      <t>ケイ</t>
    </rPh>
    <phoneticPr fontId="1"/>
  </si>
  <si>
    <t>【参考様式12】従業員携行カード（改訂版）</t>
    <rPh sb="1" eb="3">
      <t>サンコウ</t>
    </rPh>
    <rPh sb="17" eb="20">
      <t>カイテイバン</t>
    </rPh>
    <phoneticPr fontId="1"/>
  </si>
  <si>
    <t>出典：NPO法人事業継続推進機構「中小企業BCPステップアップ・ガイド」(4.0版)1-15ページ。（加筆あり）</t>
  </si>
  <si>
    <t>　　　緊急貸付等を受ける必要が生じる。</t>
  </si>
  <si>
    <t>第３版様式１０ｄ</t>
  </si>
  <si>
    <t>第３版様式９</t>
    <rPh sb="0" eb="1">
      <t>ダイ</t>
    </rPh>
    <rPh sb="2" eb="3">
      <t>ハン</t>
    </rPh>
    <rPh sb="3" eb="5">
      <t>ヨウシキ</t>
    </rPh>
    <phoneticPr fontId="1"/>
  </si>
  <si>
    <t>氏名</t>
    <rPh sb="0" eb="2">
      <t>シメイ</t>
    </rPh>
    <phoneticPr fontId="1"/>
  </si>
  <si>
    <t>AAAAAHu9dJI=</t>
  </si>
  <si>
    <t>従業員携行カード（改訂版）</t>
    <rPh sb="0" eb="3">
      <t>ジュウギョウイン</t>
    </rPh>
    <rPh sb="3" eb="5">
      <t>ケイコウ</t>
    </rPh>
    <rPh sb="9" eb="12">
      <t>カイテイバン</t>
    </rPh>
    <phoneticPr fontId="1"/>
  </si>
  <si>
    <t>　加えて、緊急地震速報への対応手順についても、場所別、業務内容別などで検討しておきましょう</t>
    <rPh sb="1" eb="2">
      <t>クワ</t>
    </rPh>
    <rPh sb="5" eb="7">
      <t>キンキュウ</t>
    </rPh>
    <rPh sb="7" eb="11">
      <t>ジシンソクホウ</t>
    </rPh>
    <rPh sb="13" eb="15">
      <t>タイオウ</t>
    </rPh>
    <rPh sb="15" eb="17">
      <t>テジュン</t>
    </rPh>
    <rPh sb="23" eb="26">
      <t>バショベツ</t>
    </rPh>
    <rPh sb="27" eb="29">
      <t>ギョウム</t>
    </rPh>
    <rPh sb="29" eb="31">
      <t>ナイヨウ</t>
    </rPh>
    <rPh sb="31" eb="32">
      <t>ベツ</t>
    </rPh>
    <rPh sb="35" eb="37">
      <t>ケントウ</t>
    </rPh>
    <phoneticPr fontId="1"/>
  </si>
  <si>
    <t>協力会社</t>
    <rPh sb="0" eb="4">
      <t>キョウリョクガイシャ</t>
    </rPh>
    <phoneticPr fontId="1"/>
  </si>
  <si>
    <t>第３版様式9</t>
  </si>
  <si>
    <t>部署
役職</t>
    <rPh sb="0" eb="2">
      <t>ブショ</t>
    </rPh>
    <rPh sb="3" eb="5">
      <t>ヤクショク</t>
    </rPh>
    <phoneticPr fontId="1"/>
  </si>
  <si>
    <t>新規</t>
    <rPh sb="0" eb="2">
      <t>シンキ</t>
    </rPh>
    <phoneticPr fontId="1"/>
  </si>
  <si>
    <t xml:space="preserve"> 災害発生　　　   終息判断</t>
    <rPh sb="1" eb="5">
      <t>サイガイハッセイ</t>
    </rPh>
    <rPh sb="11" eb="13">
      <t>シュウソク</t>
    </rPh>
    <rPh sb="13" eb="15">
      <t>ハンダン</t>
    </rPh>
    <phoneticPr fontId="1"/>
  </si>
  <si>
    <t>http://www.pref.shizuoka.jp/bousai/toukei/passport2/index.html</t>
  </si>
  <si>
    <t>携帯
電話番号</t>
    <rPh sb="0" eb="2">
      <t>ケイタイ</t>
    </rPh>
    <rPh sb="3" eb="7">
      <t>デンワバンゴウ</t>
    </rPh>
    <phoneticPr fontId="1"/>
  </si>
  <si>
    <t>例：近隣居住の従業員に実地に確認してもらう</t>
  </si>
  <si>
    <t>区分には、人命救助関係（AED、担架、医薬品など）、生命維持（水、食料、保存食・・）、衛生用品、などの種類</t>
    <rPh sb="0" eb="2">
      <t>クブン</t>
    </rPh>
    <rPh sb="5" eb="9">
      <t>ジンメイキュウジョ</t>
    </rPh>
    <rPh sb="9" eb="11">
      <t>カンケイ</t>
    </rPh>
    <rPh sb="16" eb="18">
      <t>タンカ</t>
    </rPh>
    <rPh sb="19" eb="22">
      <t>イヤクヒン</t>
    </rPh>
    <rPh sb="26" eb="30">
      <t>セイメイイジ</t>
    </rPh>
    <rPh sb="31" eb="32">
      <t>ミズ</t>
    </rPh>
    <rPh sb="33" eb="35">
      <t>ショクリョウ</t>
    </rPh>
    <rPh sb="36" eb="39">
      <t>ホゾンショク</t>
    </rPh>
    <rPh sb="43" eb="47">
      <t>エイセイヨウヒン</t>
    </rPh>
    <rPh sb="51" eb="53">
      <t>シュルイ</t>
    </rPh>
    <phoneticPr fontId="1"/>
  </si>
  <si>
    <t>被災直後</t>
    <rPh sb="0" eb="2">
      <t>ヒサイ</t>
    </rPh>
    <phoneticPr fontId="1"/>
  </si>
  <si>
    <t>（例）震度５強以上の地震が発生したとき、○川が危険水位、・・・・</t>
  </si>
  <si>
    <t>第３版様式１０ｈ</t>
  </si>
  <si>
    <t xml:space="preserve">本社（○○部）　　　　　　　　代替実施場所
* 夜間･休日の場合の方法も記載することが望ましい。
</t>
  </si>
  <si>
    <t>参考様式１０</t>
    <rPh sb="0" eb="4">
      <t>サンコウヨウシキ</t>
    </rPh>
    <phoneticPr fontId="1"/>
  </si>
  <si>
    <t>応急対応メンバー（社員）の備蓄管理</t>
    <rPh sb="0" eb="4">
      <t>オウキュウタイオウ</t>
    </rPh>
    <rPh sb="9" eb="11">
      <t>シャイン</t>
    </rPh>
    <rPh sb="13" eb="15">
      <t>ビチク</t>
    </rPh>
    <rPh sb="15" eb="17">
      <t>カンリ</t>
    </rPh>
    <phoneticPr fontId="1"/>
  </si>
  <si>
    <t>車両等の
輸送手段</t>
    <rPh sb="0" eb="3">
      <t>シャリョウトウ</t>
    </rPh>
    <rPh sb="5" eb="9">
      <t>ユソウシュダン</t>
    </rPh>
    <phoneticPr fontId="1"/>
  </si>
  <si>
    <t>1年後</t>
  </si>
  <si>
    <t>代替拠点設置の判断基準</t>
  </si>
  <si>
    <t>日</t>
    <rPh sb="0" eb="1">
      <t>ヒ</t>
    </rPh>
    <phoneticPr fontId="1"/>
  </si>
  <si>
    <t>* 社長、幹部、関連部局への連絡ルールなど</t>
  </si>
  <si>
    <t>復旧費用</t>
    <rPh sb="0" eb="2">
      <t>フッキュウ</t>
    </rPh>
    <rPh sb="2" eb="4">
      <t>ヒヨウ</t>
    </rPh>
    <phoneticPr fontId="1"/>
  </si>
  <si>
    <t>集合場所</t>
  </si>
  <si>
    <t>住所</t>
    <rPh sb="0" eb="2">
      <t>ジュウショ</t>
    </rPh>
    <phoneticPr fontId="1"/>
  </si>
  <si>
    <t>出典：NPO法人事業継続推進機構「中小企業BCPステップアップ・ガイド」(4.0版)1-12ページ。</t>
  </si>
  <si>
    <t>震度○の地震発生、○川が危険水位、・・・・</t>
  </si>
  <si>
    <t>備考</t>
    <rPh sb="0" eb="2">
      <t>ビコウ</t>
    </rPh>
    <phoneticPr fontId="1"/>
  </si>
  <si>
    <r>
      <t xml:space="preserve">注　関係の公的機関にも連絡する必要がある場合もあります。
　　　相手先には代替連絡拠点を事前に通知しておきます。それにより先方から連絡がつく可能性が高まります。
　　　非常時の連絡なので、複数の連絡手段と相手先の代理者の連絡先も把握するように。
　　　このリストは最新状態に維持するとともに、常備場所及び常時携帯すべき従業員を決めます。
　　　災害用伝言ダイヤル171、ＷＥＢ171、携帯用災害伝言板を互いに使用する可能性があれば、
      それも記入します。
</t>
    </r>
    <r>
      <rPr>
        <sz val="10"/>
        <color indexed="8"/>
        <rFont val="ＭＳ Ｐゴシック"/>
      </rPr>
      <t>出典：NPO法人事業継続推進機構「中小企業BCPステップアップ・ガイド」(4.0版)1-8ページ。一部修正。</t>
    </r>
    <r>
      <rPr>
        <sz val="11"/>
        <color theme="1"/>
        <rFont val="ＭＳ Ｐゴシック"/>
      </rPr>
      <t xml:space="preserve">
</t>
    </r>
    <rPh sb="84" eb="87">
      <t>ヒジョウジ</t>
    </rPh>
    <rPh sb="88" eb="90">
      <t>レンラク</t>
    </rPh>
    <rPh sb="94" eb="96">
      <t>フクスウ</t>
    </rPh>
    <rPh sb="97" eb="101">
      <t>レンラクシュダン</t>
    </rPh>
    <rPh sb="102" eb="105">
      <t>アイテサキ</t>
    </rPh>
    <rPh sb="106" eb="109">
      <t>ダイリシャ</t>
    </rPh>
    <rPh sb="110" eb="113">
      <t>レンラクサキ</t>
    </rPh>
    <rPh sb="114" eb="116">
      <t>ハアク</t>
    </rPh>
    <rPh sb="132" eb="134">
      <t>サイシン</t>
    </rPh>
    <rPh sb="134" eb="136">
      <t>ジョウタイ</t>
    </rPh>
    <rPh sb="137" eb="139">
      <t>イジ</t>
    </rPh>
    <phoneticPr fontId="1"/>
  </si>
  <si>
    <t>［想定例］　◯◯川氾濫</t>
    <rPh sb="8" eb="9">
      <t>カワ</t>
    </rPh>
    <rPh sb="9" eb="11">
      <t>ハンラン</t>
    </rPh>
    <phoneticPr fontId="1"/>
  </si>
  <si>
    <t>第３版様式１０ａ</t>
  </si>
  <si>
    <t>小計</t>
    <rPh sb="0" eb="2">
      <t>ショウケイ</t>
    </rPh>
    <phoneticPr fontId="1"/>
  </si>
  <si>
    <t>高</t>
  </si>
  <si>
    <t>災害対策本部を設置する権限者の代理者</t>
  </si>
  <si>
    <t>2年後</t>
  </si>
  <si>
    <t>第３版様式１０ｊ（改）</t>
    <rPh sb="9" eb="10">
      <t>カイ</t>
    </rPh>
    <phoneticPr fontId="1"/>
  </si>
  <si>
    <t>第３版様式１０ｇ</t>
  </si>
  <si>
    <t>被災直前</t>
    <rPh sb="0" eb="2">
      <t>ヒサイ</t>
    </rPh>
    <rPh sb="2" eb="3">
      <t>チョク</t>
    </rPh>
    <rPh sb="3" eb="4">
      <t>マエ</t>
    </rPh>
    <phoneticPr fontId="1"/>
  </si>
  <si>
    <t>安否確認の発動条件</t>
  </si>
  <si>
    <t>BCM体制表</t>
    <rPh sb="3" eb="6">
      <t>タイセイヒョウ</t>
    </rPh>
    <phoneticPr fontId="1"/>
  </si>
  <si>
    <t>（例）地震、台風、洪水警報</t>
  </si>
  <si>
    <t>①手元資金＆融資の状況</t>
    <rPh sb="1" eb="5">
      <t>テモトシキン</t>
    </rPh>
    <rPh sb="6" eb="8">
      <t>ユウシ</t>
    </rPh>
    <rPh sb="9" eb="11">
      <t>ジョウキョウ</t>
    </rPh>
    <phoneticPr fontId="1"/>
  </si>
  <si>
    <t>金　　　額</t>
    <rPh sb="0" eb="1">
      <t>キン</t>
    </rPh>
    <rPh sb="4" eb="5">
      <t>ガク</t>
    </rPh>
    <phoneticPr fontId="1"/>
  </si>
  <si>
    <t>【参考様式２】　BCM体制表</t>
    <rPh sb="11" eb="14">
      <t>タイセイヒョウ</t>
    </rPh>
    <phoneticPr fontId="1"/>
  </si>
  <si>
    <t>安否確認方法一覧表</t>
    <rPh sb="0" eb="6">
      <t>アンピカクニンホウホウ</t>
    </rPh>
    <rPh sb="6" eb="9">
      <t>イチランヒョウ</t>
    </rPh>
    <phoneticPr fontId="1"/>
  </si>
  <si>
    <t>災害対策本部を設置する権限者</t>
  </si>
  <si>
    <t xml:space="preserve">全○名。
統括責任者、副統括責任者、被害状況確認、取引先緊急連絡、安否確認・情報収集などの担当者を記入
</t>
  </si>
  <si>
    <t>備　　　考</t>
    <rPh sb="0" eb="1">
      <t>ソナエ</t>
    </rPh>
    <rPh sb="4" eb="5">
      <t>コウ</t>
    </rPh>
    <phoneticPr fontId="1"/>
  </si>
  <si>
    <t>　　
（１）被災後のイメージと各制度の知識を持って下さい
　　　皆さまの状況に合せ書込んでみて下さい
（２）災害の種類や災害の規模地域によって違うので
　　　必ずしもこの様にならない事をご承知おき下さい
（３）前提は防災➡非常持出し･１週間分の水･備蓄･異
　　　なる想定の訓練を繰返す、自助共助公助の精神で</t>
    <rPh sb="32" eb="33">
      <t>ミナ</t>
    </rPh>
    <rPh sb="36" eb="38">
      <t>ジョウキョウ</t>
    </rPh>
    <rPh sb="39" eb="40">
      <t>アワ</t>
    </rPh>
    <rPh sb="41" eb="43">
      <t>カキコ</t>
    </rPh>
    <rPh sb="47" eb="48">
      <t>クダ</t>
    </rPh>
    <rPh sb="107" eb="109">
      <t>ゼンテイ</t>
    </rPh>
    <rPh sb="110" eb="112">
      <t>ボウサイ</t>
    </rPh>
    <rPh sb="113" eb="117">
      <t>ヒジョウモチダ</t>
    </rPh>
    <rPh sb="120" eb="123">
      <t>シュウカンブン</t>
    </rPh>
    <rPh sb="124" eb="125">
      <t>ミズ</t>
    </rPh>
    <rPh sb="126" eb="128">
      <t>ビチク</t>
    </rPh>
    <rPh sb="129" eb="130">
      <t>コト</t>
    </rPh>
    <rPh sb="136" eb="138">
      <t>ソウテイ</t>
    </rPh>
    <rPh sb="139" eb="141">
      <t>クンレン</t>
    </rPh>
    <rPh sb="142" eb="144">
      <t>クリカエ</t>
    </rPh>
    <rPh sb="146" eb="148">
      <t>ジジョ</t>
    </rPh>
    <rPh sb="148" eb="150">
      <t>キョウジョ</t>
    </rPh>
    <rPh sb="150" eb="152">
      <t>コウジョ</t>
    </rPh>
    <rPh sb="153" eb="155">
      <t>セイシン</t>
    </rPh>
    <phoneticPr fontId="1"/>
  </si>
  <si>
    <t>様式表題</t>
    <rPh sb="0" eb="4">
      <t>ヨウシキヒョウダイ</t>
    </rPh>
    <phoneticPr fontId="1"/>
  </si>
  <si>
    <t>保管場所</t>
  </si>
  <si>
    <t>参考様式３と組合せ利用</t>
    <rPh sb="0" eb="2">
      <t>サンコウ</t>
    </rPh>
    <rPh sb="2" eb="4">
      <t>ヨウシキ</t>
    </rPh>
    <rPh sb="6" eb="8">
      <t>クミアワ</t>
    </rPh>
    <rPh sb="9" eb="11">
      <t>リヨウ</t>
    </rPh>
    <phoneticPr fontId="1"/>
  </si>
  <si>
    <t>個数</t>
  </si>
  <si>
    <t>参考様式６</t>
    <rPh sb="0" eb="4">
      <t>サンコウヨウシキ</t>
    </rPh>
    <phoneticPr fontId="1"/>
  </si>
  <si>
    <t>保存期限</t>
  </si>
  <si>
    <t>連絡
重要度</t>
  </si>
  <si>
    <t>情報の種類</t>
  </si>
  <si>
    <t>事務所関係</t>
    <rPh sb="0" eb="3">
      <t>ジムショ</t>
    </rPh>
    <rPh sb="3" eb="5">
      <t>カンケイ</t>
    </rPh>
    <phoneticPr fontId="1"/>
  </si>
  <si>
    <t>備考</t>
  </si>
  <si>
    <t>＜巨大地震警戒時の対応＞</t>
    <rPh sb="1" eb="5">
      <t>キョダイジシン</t>
    </rPh>
    <rPh sb="5" eb="7">
      <t>ケイカイ</t>
    </rPh>
    <rPh sb="7" eb="8">
      <t>ジ</t>
    </rPh>
    <phoneticPr fontId="1"/>
  </si>
  <si>
    <t>【参考様式９】緊急連絡先リスト</t>
    <rPh sb="1" eb="3">
      <t>サンコウ</t>
    </rPh>
    <phoneticPr fontId="1"/>
  </si>
  <si>
    <t>参考様式１</t>
    <rPh sb="0" eb="4">
      <t>サンコウヨウシキ</t>
    </rPh>
    <phoneticPr fontId="1"/>
  </si>
  <si>
    <t>＜調査中・巨大地震注意が出た際の対応＞</t>
    <rPh sb="1" eb="3">
      <t>チョウサ</t>
    </rPh>
    <rPh sb="3" eb="4">
      <t>チュウ</t>
    </rPh>
    <rPh sb="5" eb="9">
      <t>キョダイジシン</t>
    </rPh>
    <phoneticPr fontId="1"/>
  </si>
  <si>
    <t>（例）本社屋（○○会議室）</t>
  </si>
  <si>
    <t>・地震発生時の安全確保や避難誘導、避難場所などを従業員・顧客含め体制・手順の再確認</t>
    <rPh sb="1" eb="3">
      <t>ジシン</t>
    </rPh>
    <rPh sb="3" eb="6">
      <t>ハッセイジ</t>
    </rPh>
    <rPh sb="7" eb="11">
      <t>アンゼンカクホ</t>
    </rPh>
    <rPh sb="12" eb="14">
      <t>ヒナン</t>
    </rPh>
    <rPh sb="14" eb="16">
      <t>ユウドウ</t>
    </rPh>
    <rPh sb="17" eb="21">
      <t>ヒナンバショ</t>
    </rPh>
    <rPh sb="24" eb="27">
      <t>ジュウギョウイン</t>
    </rPh>
    <rPh sb="28" eb="30">
      <t>コキャク</t>
    </rPh>
    <rPh sb="30" eb="31">
      <t>フク</t>
    </rPh>
    <rPh sb="32" eb="34">
      <t>タイセイ</t>
    </rPh>
    <rPh sb="35" eb="37">
      <t>テジュン</t>
    </rPh>
    <rPh sb="38" eb="41">
      <t>サイカクニン</t>
    </rPh>
    <phoneticPr fontId="1"/>
  </si>
  <si>
    <r>
      <t>　　</t>
    </r>
    <r>
      <rPr>
        <b/>
        <sz val="11"/>
        <color auto="1"/>
        <rFont val="ＭＳ Ｐゴシック"/>
      </rPr>
      <t>予め、従業員･家族に生活再建のイメージや知識があれば、大災害による生活再建が少しでも早くなり経営者と従業員の絆が深まります。</t>
    </r>
    <rPh sb="2" eb="3">
      <t>アラカジ</t>
    </rPh>
    <rPh sb="5" eb="8">
      <t>ジュウギョウイン</t>
    </rPh>
    <rPh sb="9" eb="11">
      <t>カゾク</t>
    </rPh>
    <rPh sb="29" eb="32">
      <t>ダイサイガイ</t>
    </rPh>
    <rPh sb="35" eb="39">
      <t>セイカツサイケン</t>
    </rPh>
    <rPh sb="40" eb="41">
      <t>スコ</t>
    </rPh>
    <rPh sb="44" eb="45">
      <t>ハヤ</t>
    </rPh>
    <rPh sb="48" eb="51">
      <t>ケイエイシャ</t>
    </rPh>
    <rPh sb="52" eb="55">
      <t>ジュウギョウイン</t>
    </rPh>
    <rPh sb="56" eb="57">
      <t>キズナ</t>
    </rPh>
    <rPh sb="58" eb="59">
      <t>フカ</t>
    </rPh>
    <phoneticPr fontId="1"/>
  </si>
  <si>
    <t>第３版様式１０ｃ</t>
  </si>
  <si>
    <t>　　定期入れや財布、スマホなどに納めておき、いつでも参照可能にしておきましょう。</t>
    <rPh sb="26" eb="28">
      <t>サンショウ</t>
    </rPh>
    <rPh sb="28" eb="30">
      <t>カノウ</t>
    </rPh>
    <phoneticPr fontId="1"/>
  </si>
  <si>
    <t>自宅
電話番号</t>
    <rPh sb="0" eb="2">
      <t>ジタク</t>
    </rPh>
    <rPh sb="3" eb="7">
      <t>デンワバンゴウ</t>
    </rPh>
    <phoneticPr fontId="1"/>
  </si>
  <si>
    <t>安否確認の担当体制</t>
  </si>
  <si>
    <t>・職場の安全確認、備蓄品や災害時使用機器の点検など</t>
    <rPh sb="1" eb="3">
      <t>ショクバ</t>
    </rPh>
    <rPh sb="4" eb="8">
      <t>アンゼンカクニン</t>
    </rPh>
    <rPh sb="9" eb="12">
      <t>ビチクヒン</t>
    </rPh>
    <rPh sb="13" eb="20">
      <t>サイガイジシヨウキキ</t>
    </rPh>
    <rPh sb="21" eb="23">
      <t>テンケン</t>
    </rPh>
    <phoneticPr fontId="1"/>
  </si>
  <si>
    <t>従業員・家族等への家庭ＢＣＰ（被災からの生活再建）</t>
    <rPh sb="0" eb="3">
      <t>ジュウギョウイン</t>
    </rPh>
    <rPh sb="4" eb="6">
      <t>カゾク</t>
    </rPh>
    <rPh sb="6" eb="7">
      <t>トウ</t>
    </rPh>
    <rPh sb="9" eb="11">
      <t>カテイ</t>
    </rPh>
    <rPh sb="15" eb="17">
      <t>ヒサイ</t>
    </rPh>
    <rPh sb="20" eb="22">
      <t>セイカツ</t>
    </rPh>
    <rPh sb="22" eb="24">
      <t>サイケン</t>
    </rPh>
    <phoneticPr fontId="1"/>
  </si>
  <si>
    <t>被害予測に基づく財務チェック</t>
  </si>
  <si>
    <t>【参考様式６】事業所からの避難要領</t>
    <rPh sb="1" eb="3">
      <t>サンコウ</t>
    </rPh>
    <phoneticPr fontId="1"/>
  </si>
  <si>
    <t>南海トラフ地震に関連する臨時情報発表時の対応</t>
    <rPh sb="0" eb="2">
      <t>ナンカイ</t>
    </rPh>
    <rPh sb="5" eb="7">
      <t>ジシン</t>
    </rPh>
    <rPh sb="8" eb="10">
      <t>カンレン</t>
    </rPh>
    <rPh sb="12" eb="14">
      <t>リンジ</t>
    </rPh>
    <rPh sb="14" eb="16">
      <t>ジョウホウ</t>
    </rPh>
    <rPh sb="16" eb="18">
      <t>ハッピョウ</t>
    </rPh>
    <rPh sb="18" eb="19">
      <t>ジ</t>
    </rPh>
    <rPh sb="20" eb="22">
      <t>タイオウ</t>
    </rPh>
    <phoneticPr fontId="1"/>
  </si>
  <si>
    <t>避難解除責任者（代理責任者）</t>
  </si>
  <si>
    <t>巨大地震警戒</t>
    <rPh sb="0" eb="4">
      <t>キョダイジシン</t>
    </rPh>
    <phoneticPr fontId="1"/>
  </si>
  <si>
    <t>被災当日</t>
    <rPh sb="0" eb="4">
      <t>ヒサイトウジツ</t>
    </rPh>
    <phoneticPr fontId="1"/>
  </si>
  <si>
    <t>第3版様式７ａ</t>
    <rPh sb="0" eb="1">
      <t>ダイ</t>
    </rPh>
    <rPh sb="2" eb="3">
      <t>ハン</t>
    </rPh>
    <rPh sb="3" eb="5">
      <t>ヨウシキ</t>
    </rPh>
    <phoneticPr fontId="1"/>
  </si>
  <si>
    <t>復旧・再調達
費用
（計）</t>
    <rPh sb="0" eb="2">
      <t>フッキュウ</t>
    </rPh>
    <rPh sb="3" eb="6">
      <t>サイチョウタツ</t>
    </rPh>
    <rPh sb="7" eb="9">
      <t>ヒヨウ</t>
    </rPh>
    <rPh sb="11" eb="12">
      <t>ケイ</t>
    </rPh>
    <phoneticPr fontId="1"/>
  </si>
  <si>
    <t>携帯メールアドレスetc
（必ず連絡が取れる手段で）</t>
    <rPh sb="0" eb="2">
      <t>ケイタイ</t>
    </rPh>
    <rPh sb="14" eb="15">
      <t>カナラ</t>
    </rPh>
    <rPh sb="16" eb="18">
      <t>レンラク</t>
    </rPh>
    <rPh sb="19" eb="20">
      <t>ト</t>
    </rPh>
    <rPh sb="22" eb="24">
      <t>シュダン</t>
    </rPh>
    <phoneticPr fontId="1"/>
  </si>
  <si>
    <t>必要備品は一度の揃えるのは予算的にも大変なので、定額を予算化し徐々に買い揃えるように</t>
    <rPh sb="0" eb="4">
      <t>ヒツヨウビヒン</t>
    </rPh>
    <rPh sb="5" eb="7">
      <t>イチド</t>
    </rPh>
    <rPh sb="8" eb="9">
      <t>ソロ</t>
    </rPh>
    <rPh sb="13" eb="16">
      <t>ヨサンテキ</t>
    </rPh>
    <rPh sb="18" eb="20">
      <t>タイヘン</t>
    </rPh>
    <rPh sb="24" eb="26">
      <t>テイガク</t>
    </rPh>
    <rPh sb="27" eb="30">
      <t>ヨサンカ</t>
    </rPh>
    <rPh sb="31" eb="33">
      <t>ジョジョ</t>
    </rPh>
    <rPh sb="34" eb="35">
      <t>カ</t>
    </rPh>
    <rPh sb="36" eb="37">
      <t>ソロ</t>
    </rPh>
    <phoneticPr fontId="1"/>
  </si>
  <si>
    <t>取引先Ａ社</t>
  </si>
  <si>
    <t>参考様式３</t>
    <rPh sb="0" eb="4">
      <t>サンコウヨウシキ</t>
    </rPh>
    <phoneticPr fontId="1"/>
  </si>
  <si>
    <t>第３版様式10ｊ（改）</t>
    <rPh sb="9" eb="10">
      <t>カイ</t>
    </rPh>
    <phoneticPr fontId="1"/>
  </si>
  <si>
    <t>第３版様式１０ｂ</t>
  </si>
  <si>
    <t>氏名
代理氏名</t>
  </si>
  <si>
    <t>2か月後</t>
  </si>
  <si>
    <t>復旧期間</t>
    <rPh sb="0" eb="2">
      <t>フッキュウ</t>
    </rPh>
    <rPh sb="2" eb="4">
      <t>キカン</t>
    </rPh>
    <phoneticPr fontId="1"/>
  </si>
  <si>
    <t>【参考様式４】災害対策本部の設置</t>
    <rPh sb="1" eb="3">
      <t>サンコウ</t>
    </rPh>
    <phoneticPr fontId="1"/>
  </si>
  <si>
    <t>左記以外の
緊急連絡先</t>
    <rPh sb="0" eb="4">
      <t>サキイガイ</t>
    </rPh>
    <rPh sb="6" eb="11">
      <t>キンキュウレンラクサキ</t>
    </rPh>
    <phoneticPr fontId="1"/>
  </si>
  <si>
    <t>【参考様式８】代替拠点の概要</t>
    <rPh sb="1" eb="3">
      <t>サンコウ</t>
    </rPh>
    <phoneticPr fontId="1"/>
  </si>
  <si>
    <t>電話、ＦＡＸ、メールアドレス</t>
  </si>
  <si>
    <t>第３版様式１０ｋ</t>
  </si>
  <si>
    <t>　事業者の事情に合わせた、様式を準備しておくことも有効です。</t>
    <rPh sb="1" eb="4">
      <t>ジギョウシャ</t>
    </rPh>
    <rPh sb="5" eb="7">
      <t>ジジョウ</t>
    </rPh>
    <rPh sb="8" eb="9">
      <t>ア</t>
    </rPh>
    <rPh sb="13" eb="15">
      <t>ヨウシキ</t>
    </rPh>
    <rPh sb="16" eb="18">
      <t>ジュンビ</t>
    </rPh>
    <rPh sb="25" eb="27">
      <t>ユウコウ</t>
    </rPh>
    <phoneticPr fontId="1"/>
  </si>
  <si>
    <t>【参考様式７】安否確認方法一覧表</t>
    <rPh sb="1" eb="3">
      <t>サンコウ</t>
    </rPh>
    <phoneticPr fontId="1"/>
  </si>
  <si>
    <t>種　　類</t>
    <rPh sb="0" eb="1">
      <t>タネ</t>
    </rPh>
    <rPh sb="3" eb="4">
      <t>タグイ</t>
    </rPh>
    <phoneticPr fontId="1"/>
  </si>
  <si>
    <t>入手方法</t>
  </si>
  <si>
    <t>※安否確認の良しあしが、業務再開時期を決めるので、正確に、早く確認できる方法をが重要。
　安否確認システムが優れているが、Lineなど、コミュニケーションツールの利用も有効。</t>
    <rPh sb="1" eb="5">
      <t>アンピカクニン</t>
    </rPh>
    <rPh sb="6" eb="7">
      <t>ヨ</t>
    </rPh>
    <rPh sb="12" eb="18">
      <t>ギョウムサイカイジキ</t>
    </rPh>
    <rPh sb="19" eb="20">
      <t>キ</t>
    </rPh>
    <rPh sb="25" eb="27">
      <t>セイカク</t>
    </rPh>
    <rPh sb="29" eb="30">
      <t>ハヤ</t>
    </rPh>
    <rPh sb="31" eb="33">
      <t>カクニン</t>
    </rPh>
    <rPh sb="36" eb="38">
      <t>ホウホウ</t>
    </rPh>
    <rPh sb="40" eb="42">
      <t>ジュウヨウ</t>
    </rPh>
    <rPh sb="45" eb="49">
      <t>アンピカクニン</t>
    </rPh>
    <rPh sb="54" eb="55">
      <t>スグ</t>
    </rPh>
    <rPh sb="81" eb="83">
      <t>リヨウ</t>
    </rPh>
    <rPh sb="84" eb="86">
      <t>ユウコウ</t>
    </rPh>
    <phoneticPr fontId="1"/>
  </si>
  <si>
    <t>巨大地震注意</t>
    <rPh sb="0" eb="2">
      <t>キョダイ</t>
    </rPh>
    <rPh sb="2" eb="4">
      <t>ジシン</t>
    </rPh>
    <rPh sb="4" eb="6">
      <t>チュウイ</t>
    </rPh>
    <phoneticPr fontId="1"/>
  </si>
  <si>
    <t>生産関係</t>
    <rPh sb="0" eb="4">
      <t>セイサンカンケイ</t>
    </rPh>
    <phoneticPr fontId="1"/>
  </si>
  <si>
    <t>【参考様式３】緊急時の対応体制</t>
    <rPh sb="1" eb="3">
      <t>サンコウ</t>
    </rPh>
    <phoneticPr fontId="1"/>
  </si>
  <si>
    <t>Ｂ銀行</t>
  </si>
  <si>
    <t>事業中断損失</t>
    <rPh sb="0" eb="4">
      <t>ジギョウチュウダン</t>
    </rPh>
    <rPh sb="4" eb="6">
      <t>ソンシツ</t>
    </rPh>
    <phoneticPr fontId="1"/>
  </si>
  <si>
    <t>担当者（複数）</t>
  </si>
  <si>
    <t>BCM推進担当</t>
    <rPh sb="3" eb="5">
      <t>スイシン</t>
    </rPh>
    <rPh sb="5" eb="7">
      <t>タントウ</t>
    </rPh>
    <phoneticPr fontId="1"/>
  </si>
  <si>
    <t>対策本部担当</t>
    <rPh sb="0" eb="4">
      <t>タイサクホンブ</t>
    </rPh>
    <rPh sb="4" eb="6">
      <t>タントウ</t>
    </rPh>
    <phoneticPr fontId="1"/>
  </si>
  <si>
    <t>1か月後</t>
  </si>
  <si>
    <t>システム担当</t>
    <rPh sb="4" eb="6">
      <t>タントウ</t>
    </rPh>
    <phoneticPr fontId="1"/>
  </si>
  <si>
    <t>顧客担当</t>
    <rPh sb="0" eb="4">
      <t>コキャクタントウ</t>
    </rPh>
    <phoneticPr fontId="1"/>
  </si>
  <si>
    <t>調達関係</t>
    <rPh sb="0" eb="4">
      <t>チョウタツカンケイ</t>
    </rPh>
    <phoneticPr fontId="1"/>
  </si>
  <si>
    <t>避難誘導</t>
    <rPh sb="0" eb="2">
      <t>ヒナン</t>
    </rPh>
    <rPh sb="2" eb="4">
      <t>ユウドウ</t>
    </rPh>
    <phoneticPr fontId="1"/>
  </si>
  <si>
    <t>救出・救護</t>
    <rPh sb="0" eb="2">
      <t>キュウシュツ</t>
    </rPh>
    <rPh sb="3" eb="5">
      <t>キュウゴ</t>
    </rPh>
    <phoneticPr fontId="1"/>
  </si>
  <si>
    <t>消火</t>
    <rPh sb="0" eb="2">
      <t>ショウカ</t>
    </rPh>
    <phoneticPr fontId="1"/>
  </si>
  <si>
    <t>事前対策１</t>
    <rPh sb="0" eb="4">
      <t>ジゼンタイサク</t>
    </rPh>
    <phoneticPr fontId="1"/>
  </si>
  <si>
    <t>事前対策２</t>
    <rPh sb="0" eb="4">
      <t>ジゼンタイサク</t>
    </rPh>
    <phoneticPr fontId="1"/>
  </si>
  <si>
    <t>役割分担表</t>
    <rPh sb="0" eb="2">
      <t>ヤクワリ</t>
    </rPh>
    <rPh sb="2" eb="4">
      <t>ブンタン</t>
    </rPh>
    <rPh sb="4" eb="5">
      <t>ヒョウ</t>
    </rPh>
    <phoneticPr fontId="1"/>
  </si>
  <si>
    <t>参考様式２</t>
    <rPh sb="0" eb="4">
      <t>サンコウヨウシキ</t>
    </rPh>
    <phoneticPr fontId="1"/>
  </si>
  <si>
    <r>
      <t>　　</t>
    </r>
    <r>
      <rPr>
        <b/>
        <sz val="11"/>
        <color auto="1"/>
        <rFont val="ＭＳ Ｐゴシック"/>
      </rPr>
      <t>以下は、</t>
    </r>
    <r>
      <rPr>
        <b/>
        <u val="double"/>
        <sz val="11"/>
        <color auto="1"/>
        <rFont val="ＭＳ Ｐゴシック"/>
      </rPr>
      <t>従業員の皆さまの立場で</t>
    </r>
    <r>
      <rPr>
        <b/>
        <sz val="11"/>
        <color auto="1"/>
        <rFont val="ＭＳ Ｐゴシック"/>
      </rPr>
      <t>、家庭における災害の事前対策（準備）と発災後の事後対応を時間軸で検討する項目の一例です。</t>
    </r>
    <rPh sb="2" eb="4">
      <t>イカ</t>
    </rPh>
    <rPh sb="6" eb="9">
      <t>ジュウギョウイン</t>
    </rPh>
    <rPh sb="10" eb="11">
      <t>ミナ</t>
    </rPh>
    <rPh sb="14" eb="16">
      <t>タチバ</t>
    </rPh>
    <rPh sb="18" eb="20">
      <t>カテイ</t>
    </rPh>
    <rPh sb="24" eb="26">
      <t>サイガイ</t>
    </rPh>
    <rPh sb="27" eb="31">
      <t>ジゼンタイサク</t>
    </rPh>
    <rPh sb="32" eb="34">
      <t>ジュンビ</t>
    </rPh>
    <rPh sb="36" eb="39">
      <t>ハッサイゴ</t>
    </rPh>
    <rPh sb="40" eb="44">
      <t>ジゴタイオウ</t>
    </rPh>
    <rPh sb="45" eb="48">
      <t>ジカンジク</t>
    </rPh>
    <rPh sb="49" eb="51">
      <t>ケントウ</t>
    </rPh>
    <rPh sb="53" eb="55">
      <t>コウモク</t>
    </rPh>
    <rPh sb="56" eb="58">
      <t>イチレイ</t>
    </rPh>
    <phoneticPr fontId="1"/>
  </si>
  <si>
    <t>出典：NPO法人事業継続推進機構「中小企業BCPステップアップ・ガイド」（4.0版）。一部修正</t>
    <rPh sb="0" eb="2">
      <t>シュッテン</t>
    </rPh>
    <rPh sb="6" eb="8">
      <t>ホウジン</t>
    </rPh>
    <rPh sb="8" eb="12">
      <t>ジギョウケイゾク</t>
    </rPh>
    <rPh sb="12" eb="16">
      <t>スイシンキコウ</t>
    </rPh>
    <rPh sb="17" eb="21">
      <t>チュウショウキギョウ</t>
    </rPh>
    <rPh sb="40" eb="41">
      <t>バン</t>
    </rPh>
    <rPh sb="43" eb="45">
      <t>イチブ</t>
    </rPh>
    <rPh sb="45" eb="47">
      <t>シュウセイ</t>
    </rPh>
    <phoneticPr fontId="1"/>
  </si>
  <si>
    <t>本人との
続柄</t>
    <rPh sb="0" eb="2">
      <t>ホンニン</t>
    </rPh>
    <rPh sb="5" eb="7">
      <t>ゾクガラ</t>
    </rPh>
    <phoneticPr fontId="1"/>
  </si>
  <si>
    <t>連絡相手方名</t>
  </si>
  <si>
    <t>連絡先担当者</t>
  </si>
  <si>
    <t>連絡方法</t>
  </si>
  <si>
    <t>（BCP特別保証申請用）</t>
    <rPh sb="4" eb="8">
      <t>トクベツホショウ</t>
    </rPh>
    <rPh sb="8" eb="11">
      <t>シンセイヨウ</t>
    </rPh>
    <phoneticPr fontId="1"/>
  </si>
  <si>
    <t>当社○○事業所</t>
  </si>
  <si>
    <t>電話、携帯電話、ＦＡＸ、電子メール、携帯メール　</t>
  </si>
  <si>
    <t>Ｃ商工会議所</t>
    <rPh sb="3" eb="5">
      <t>カイギ</t>
    </rPh>
    <rPh sb="5" eb="6">
      <t>ショ</t>
    </rPh>
    <phoneticPr fontId="1"/>
  </si>
  <si>
    <t>Ｄ電力</t>
  </si>
  <si>
    <t>・・・</t>
  </si>
  <si>
    <t>品名</t>
  </si>
  <si>
    <t>管理責任者</t>
  </si>
  <si>
    <t>出典：NPO法人事業継続推進機構「中小企業BCPステップアップ・ガイド」(4.0版)1-19ページ。一部修正</t>
    <rPh sb="50" eb="52">
      <t>イチブ</t>
    </rPh>
    <rPh sb="52" eb="54">
      <t>シュウセイ</t>
    </rPh>
    <phoneticPr fontId="1"/>
  </si>
  <si>
    <t>従業員への伝達方法</t>
  </si>
  <si>
    <t>(例)　命のパスポート（静岡県）</t>
    <rPh sb="12" eb="15">
      <t>シズオカケン</t>
    </rPh>
    <phoneticPr fontId="1"/>
  </si>
  <si>
    <t>就業時間中</t>
  </si>
  <si>
    <t>第３版様式10ａ</t>
  </si>
  <si>
    <t>夜間・休日</t>
  </si>
  <si>
    <t>注　次のような観点で対応を検討します。</t>
  </si>
  <si>
    <t>①南海トラフ地震に関連する臨時情報の入手・伝達方法</t>
  </si>
  <si>
    <t>②南海トラフ地震に関連する臨時情報発表時の対応</t>
  </si>
  <si>
    <t>注：静岡県危機管理部危機情報課「命のパスポート」</t>
  </si>
  <si>
    <t>現金・預金</t>
    <rPh sb="0" eb="2">
      <t>ゲンキン</t>
    </rPh>
    <rPh sb="3" eb="5">
      <t>ヨキン</t>
    </rPh>
    <phoneticPr fontId="1"/>
  </si>
  <si>
    <t>百万円</t>
    <rPh sb="0" eb="3">
      <t>ヒャクマンエン</t>
    </rPh>
    <phoneticPr fontId="1"/>
  </si>
  <si>
    <t>応急対策や当面の運転資金として売上高１ヵ月分の保有が望ましい。</t>
    <rPh sb="0" eb="4">
      <t>オウキュウタイサク</t>
    </rPh>
    <rPh sb="5" eb="7">
      <t>トウメン</t>
    </rPh>
    <rPh sb="8" eb="12">
      <t>ウンテンシキン</t>
    </rPh>
    <rPh sb="15" eb="18">
      <t>ウリアゲダカ</t>
    </rPh>
    <rPh sb="20" eb="22">
      <t>ゲツブン</t>
    </rPh>
    <rPh sb="23" eb="25">
      <t>ホユウ</t>
    </rPh>
    <rPh sb="26" eb="27">
      <t>ノゾ</t>
    </rPh>
    <phoneticPr fontId="1"/>
  </si>
  <si>
    <t>損害保険</t>
    <rPh sb="0" eb="4">
      <t>ソンガイホケン</t>
    </rPh>
    <phoneticPr fontId="1"/>
  </si>
  <si>
    <t>第３版様式10ｈ</t>
  </si>
  <si>
    <t>損害保険の加入対象をチェック
□火災　□水害　□地震　□事業中断</t>
    <rPh sb="0" eb="2">
      <t>ソンガイ</t>
    </rPh>
    <rPh sb="2" eb="4">
      <t>ホケン</t>
    </rPh>
    <rPh sb="5" eb="9">
      <t>カニュウタイショウ</t>
    </rPh>
    <rPh sb="16" eb="18">
      <t>カサイ</t>
    </rPh>
    <rPh sb="20" eb="22">
      <t>スイガイ</t>
    </rPh>
    <rPh sb="24" eb="26">
      <t>ジシン</t>
    </rPh>
    <rPh sb="28" eb="32">
      <t>ジギョウチュウダン</t>
    </rPh>
    <phoneticPr fontId="1"/>
  </si>
  <si>
    <t>会社資産</t>
    <rPh sb="0" eb="4">
      <t>カイシャシサン</t>
    </rPh>
    <phoneticPr fontId="1"/>
  </si>
  <si>
    <t>株券等の売却可能な資産評価額を記入</t>
    <rPh sb="0" eb="3">
      <t>カブケントウ</t>
    </rPh>
    <rPh sb="4" eb="8">
      <t>バイキャクカノウ</t>
    </rPh>
    <rPh sb="9" eb="11">
      <t>シサン</t>
    </rPh>
    <rPh sb="11" eb="14">
      <t>ヒョウカガク</t>
    </rPh>
    <rPh sb="15" eb="17">
      <t>キニュウ</t>
    </rPh>
    <phoneticPr fontId="1"/>
  </si>
  <si>
    <t>②復旧・再調達費用の予測</t>
    <rPh sb="1" eb="3">
      <t>フッキュウ</t>
    </rPh>
    <rPh sb="4" eb="7">
      <t>サイチョウタツ</t>
    </rPh>
    <rPh sb="7" eb="9">
      <t>ヒヨウ</t>
    </rPh>
    <rPh sb="10" eb="12">
      <t>ヨソク</t>
    </rPh>
    <phoneticPr fontId="1"/>
  </si>
  <si>
    <t>本社から～　Ａ部長の自宅から～</t>
  </si>
  <si>
    <t>［想定例］　XX地震</t>
    <rPh sb="1" eb="4">
      <t>ソウテイレイ</t>
    </rPh>
    <rPh sb="8" eb="10">
      <t>ジシン</t>
    </rPh>
    <phoneticPr fontId="1"/>
  </si>
  <si>
    <t>その他
（　　　　　　　　　　　　　）</t>
    <rPh sb="2" eb="3">
      <t>タ</t>
    </rPh>
    <phoneticPr fontId="1"/>
  </si>
  <si>
    <t>事業所建物</t>
    <rPh sb="0" eb="3">
      <t>ジギョウショ</t>
    </rPh>
    <rPh sb="3" eb="5">
      <t>タテモノ</t>
    </rPh>
    <phoneticPr fontId="1"/>
  </si>
  <si>
    <t>機械・装置</t>
    <rPh sb="0" eb="2">
      <t>キカイ</t>
    </rPh>
    <rPh sb="3" eb="5">
      <t>ソウチ</t>
    </rPh>
    <phoneticPr fontId="1"/>
  </si>
  <si>
    <t>工具・器具・
備品</t>
    <rPh sb="0" eb="2">
      <t>コウグ</t>
    </rPh>
    <rPh sb="3" eb="5">
      <t>キグ</t>
    </rPh>
    <rPh sb="7" eb="9">
      <t>ビヒン</t>
    </rPh>
    <phoneticPr fontId="1"/>
  </si>
  <si>
    <t>災害対策本部を設置する可能性がある脅威/状況</t>
  </si>
  <si>
    <t>棚卸資産</t>
    <rPh sb="0" eb="2">
      <t>タナオロ</t>
    </rPh>
    <rPh sb="2" eb="4">
      <t>シサン</t>
    </rPh>
    <phoneticPr fontId="1"/>
  </si>
  <si>
    <t>調査中</t>
    <rPh sb="0" eb="2">
      <t>チョウサ</t>
    </rPh>
    <rPh sb="2" eb="3">
      <t>チュウ</t>
    </rPh>
    <phoneticPr fontId="1"/>
  </si>
  <si>
    <t>調査情報が出た際の情報収集・伝達の具体的な方法や、注意情報が出た際の自社の準備対応
（情報収集、事業所等での安全対策、警戒時･発災時の対応の確認等）について、具体的に定めます。</t>
    <rPh sb="0" eb="2">
      <t>チョウサ</t>
    </rPh>
    <phoneticPr fontId="1"/>
  </si>
  <si>
    <t>・緊急時の連絡方法、体制などの再確認</t>
    <rPh sb="1" eb="4">
      <t>キンキュウジ</t>
    </rPh>
    <rPh sb="5" eb="7">
      <t>レンラク</t>
    </rPh>
    <rPh sb="7" eb="9">
      <t>ホウホウ</t>
    </rPh>
    <rPh sb="10" eb="12">
      <t>タイセイ</t>
    </rPh>
    <rPh sb="15" eb="18">
      <t>サイカクニン</t>
    </rPh>
    <phoneticPr fontId="1"/>
  </si>
  <si>
    <t>注　復旧・再調達費用（計）が手元資金（計）を上回っていれば</t>
  </si>
  <si>
    <t>安否確認の方法・手順</t>
  </si>
  <si>
    <t>銀行融資</t>
    <rPh sb="0" eb="2">
      <t>ギンコウ</t>
    </rPh>
    <rPh sb="2" eb="4">
      <t>ユウシ</t>
    </rPh>
    <phoneticPr fontId="1"/>
  </si>
  <si>
    <t>責任者：　　　　　代理者：　　　　　　担当者：</t>
  </si>
  <si>
    <t>死傷者が出た場合の社内情報共有方策</t>
  </si>
  <si>
    <t>様式
番号</t>
    <rPh sb="0" eb="2">
      <t>ヨウシキ</t>
    </rPh>
    <rPh sb="3" eb="5">
      <t>バンゴウ</t>
    </rPh>
    <phoneticPr fontId="1"/>
  </si>
  <si>
    <t>BCP特別保証</t>
    <rPh sb="3" eb="5">
      <t>トクベツ</t>
    </rPh>
    <rPh sb="5" eb="7">
      <t>ホショウ</t>
    </rPh>
    <phoneticPr fontId="1"/>
  </si>
  <si>
    <t>（例）本社工場内オフィス（○○会議室）</t>
  </si>
  <si>
    <t>緊急時の対応体制</t>
    <rPh sb="0" eb="3">
      <t>キンキュウジ</t>
    </rPh>
    <rPh sb="4" eb="8">
      <t>タイオウタイセイ</t>
    </rPh>
    <phoneticPr fontId="1"/>
  </si>
  <si>
    <t>安否確認の実施場所</t>
  </si>
  <si>
    <t>参考様式４</t>
    <rPh sb="0" eb="4">
      <t>サンコウヨウシキ</t>
    </rPh>
    <phoneticPr fontId="1"/>
  </si>
  <si>
    <t>（例）社長、専務、常務、総務部長、各部部長・・・</t>
  </si>
  <si>
    <t>災害本部の設置</t>
    <rPh sb="0" eb="4">
      <t>サイガイホンブ</t>
    </rPh>
    <rPh sb="5" eb="7">
      <t>セッチ</t>
    </rPh>
    <phoneticPr fontId="1"/>
  </si>
  <si>
    <t>参考様式５</t>
    <rPh sb="0" eb="4">
      <t>サンコウヨウシキ</t>
    </rPh>
    <phoneticPr fontId="1"/>
  </si>
  <si>
    <t>従業員の連絡先</t>
    <rPh sb="0" eb="3">
      <t>ジュウギョウイン</t>
    </rPh>
    <rPh sb="4" eb="7">
      <t>レンラクサキ</t>
    </rPh>
    <phoneticPr fontId="1"/>
  </si>
  <si>
    <t>事業所から避難要領</t>
    <rPh sb="0" eb="3">
      <t>ジギョウショ</t>
    </rPh>
    <rPh sb="5" eb="7">
      <t>ヒナン</t>
    </rPh>
    <rPh sb="7" eb="9">
      <t>ヨウリョウ</t>
    </rPh>
    <phoneticPr fontId="1"/>
  </si>
  <si>
    <t>参考様式７</t>
    <rPh sb="0" eb="4">
      <t>サンコウヨウシキ</t>
    </rPh>
    <phoneticPr fontId="1"/>
  </si>
  <si>
    <t>https://www.bousai.go.jp/jishin/nankai/taio_wg/pdf/h300806shiryo02.pdf</t>
  </si>
  <si>
    <t>集合場所責任者（代理責任者）</t>
  </si>
  <si>
    <t>参考様式８</t>
    <rPh sb="0" eb="4">
      <t>サンコウヨウシキ</t>
    </rPh>
    <phoneticPr fontId="1"/>
  </si>
  <si>
    <t>代替拠点の概要</t>
    <rPh sb="0" eb="4">
      <t>ダイガエキョテン</t>
    </rPh>
    <rPh sb="5" eb="7">
      <t>ガイヨウ</t>
    </rPh>
    <phoneticPr fontId="1"/>
  </si>
  <si>
    <t>注　発災時の混乱や停滞を避けるために、隣接業者や社屋管理者などと共同で本様式を作成することが望まれ
    ます。避難場所の地図を掲示しておいて下さい。非常口は明確にしておいて下さい。</t>
  </si>
  <si>
    <t>第３版様式１０ｅ</t>
  </si>
  <si>
    <t>参考様式９</t>
    <rPh sb="0" eb="4">
      <t>サンコウヨウシキ</t>
    </rPh>
    <phoneticPr fontId="1"/>
  </si>
  <si>
    <t>緊急連絡先リスト</t>
    <rPh sb="0" eb="2">
      <t>キンキュウ</t>
    </rPh>
    <rPh sb="2" eb="5">
      <t>レンラクサキ</t>
    </rPh>
    <phoneticPr fontId="1"/>
  </si>
  <si>
    <t>参考様式１１</t>
    <rPh sb="0" eb="4">
      <t>サンコウヨウシキ</t>
    </rPh>
    <phoneticPr fontId="1"/>
  </si>
  <si>
    <t>参考様式１２</t>
    <rPh sb="0" eb="4">
      <t>サンコウヨウシキ</t>
    </rPh>
    <phoneticPr fontId="1"/>
  </si>
  <si>
    <t>【BCP特別保証】被害予測に基づく財務チェック</t>
    <rPh sb="4" eb="6">
      <t>トクベツ</t>
    </rPh>
    <rPh sb="6" eb="8">
      <t>ホショウ</t>
    </rPh>
    <rPh sb="9" eb="13">
      <t>ヒガイヨソク</t>
    </rPh>
    <rPh sb="14" eb="15">
      <t>モト</t>
    </rPh>
    <rPh sb="17" eb="19">
      <t>ザイム</t>
    </rPh>
    <phoneticPr fontId="1"/>
  </si>
  <si>
    <t>危機発生後の役割と担当者をこの表のようにマトリックスで示すと漏れがなくなる。リーダー（L)には必ずサブ（S)を設けること</t>
    <rPh sb="0" eb="5">
      <t>キキハッセイゴ</t>
    </rPh>
    <rPh sb="6" eb="8">
      <t>ヤクワリ</t>
    </rPh>
    <rPh sb="9" eb="12">
      <t>タントウシャ</t>
    </rPh>
    <rPh sb="15" eb="16">
      <t>ヒョウ</t>
    </rPh>
    <rPh sb="27" eb="28">
      <t>シメ</t>
    </rPh>
    <rPh sb="30" eb="31">
      <t>モ</t>
    </rPh>
    <rPh sb="47" eb="48">
      <t>カナラ</t>
    </rPh>
    <rPh sb="55" eb="56">
      <t>モウ</t>
    </rPh>
    <phoneticPr fontId="1"/>
  </si>
  <si>
    <t>検討事項</t>
    <rPh sb="0" eb="2">
      <t>ケントウ</t>
    </rPh>
    <rPh sb="2" eb="4">
      <t>ジコウ</t>
    </rPh>
    <phoneticPr fontId="1"/>
  </si>
  <si>
    <t>3日後</t>
  </si>
  <si>
    <t>第３版様式10c</t>
  </si>
  <si>
    <t>1週間後</t>
  </si>
  <si>
    <t>3か月後</t>
  </si>
  <si>
    <t>災害対策本部の要員</t>
  </si>
  <si>
    <t>半年後</t>
  </si>
  <si>
    <t>命のパスポート・静岡県</t>
    <rPh sb="0" eb="1">
      <t>イノチ</t>
    </rPh>
    <rPh sb="8" eb="11">
      <t>シズオカケン</t>
    </rPh>
    <phoneticPr fontId="1"/>
  </si>
  <si>
    <t>3年後</t>
  </si>
  <si>
    <t>【参考様式１１】南海トラフ地震に関連する臨時情報発表時の対応</t>
    <rPh sb="1" eb="3">
      <t>サンコウ</t>
    </rPh>
    <rPh sb="8" eb="10">
      <t>ナンカイ</t>
    </rPh>
    <rPh sb="20" eb="22">
      <t>リンジ</t>
    </rPh>
    <phoneticPr fontId="1"/>
  </si>
  <si>
    <t>静岡県の南海トラフ地震臨時情報サイト：</t>
    <rPh sb="0" eb="3">
      <t>シズオカケン</t>
    </rPh>
    <rPh sb="4" eb="6">
      <t>ナンカイ</t>
    </rPh>
    <rPh sb="9" eb="15">
      <t>ジシンリンジジョウホウ</t>
    </rPh>
    <phoneticPr fontId="1"/>
  </si>
  <si>
    <t>https://www.pref.shizuoka.jp/bosaikinkyu/sonae/earthquake/nankaitorafu/1035406.html</t>
  </si>
  <si>
    <t>国の南海トラフ地震臨時情報関連サイト：　</t>
    <rPh sb="0" eb="1">
      <t>クニ</t>
    </rPh>
    <rPh sb="13" eb="15">
      <t>カンレン</t>
    </rPh>
    <phoneticPr fontId="1"/>
  </si>
  <si>
    <t>【参考様式１０】応急対応メンバーのための備蓄</t>
    <rPh sb="1" eb="3">
      <t>サンコウ</t>
    </rPh>
    <phoneticPr fontId="1"/>
  </si>
  <si>
    <t>区分</t>
    <rPh sb="0" eb="2">
      <t>クブン</t>
    </rPh>
    <phoneticPr fontId="1"/>
  </si>
  <si>
    <t>【積極的にフェーズフリーを】備蓄品や非常用備品を防災専用比ではなく、普段使いもでき、イザという時には助けになることをフェーズフリーと言います。残業用軽食を非常食に、PHV車を非常時の電源として、ウオーターサーバーのボトルを非常時の飲料水に利用という使い方です。知恵でフェーズフリー用品を増やしましょう。</t>
    <rPh sb="1" eb="4">
      <t>セッキョクテキ</t>
    </rPh>
    <rPh sb="14" eb="17">
      <t>ビチクヒン</t>
    </rPh>
    <rPh sb="18" eb="21">
      <t>ヒジョウヨウ</t>
    </rPh>
    <rPh sb="21" eb="23">
      <t>ビヒン</t>
    </rPh>
    <rPh sb="24" eb="29">
      <t>ボウサイセンヨウヒ</t>
    </rPh>
    <rPh sb="34" eb="37">
      <t>フダンヅカ</t>
    </rPh>
    <rPh sb="47" eb="48">
      <t>トキ</t>
    </rPh>
    <rPh sb="50" eb="51">
      <t>タス</t>
    </rPh>
    <rPh sb="66" eb="67">
      <t>イ</t>
    </rPh>
    <rPh sb="71" eb="74">
      <t>ザンギョウヨウ</t>
    </rPh>
    <rPh sb="74" eb="76">
      <t>ケイショク</t>
    </rPh>
    <rPh sb="77" eb="79">
      <t>ヒジョウ</t>
    </rPh>
    <rPh sb="79" eb="80">
      <t>ショク</t>
    </rPh>
    <rPh sb="85" eb="86">
      <t>シャ</t>
    </rPh>
    <rPh sb="87" eb="90">
      <t>ヒジョウジ</t>
    </rPh>
    <rPh sb="91" eb="93">
      <t>デンゲン</t>
    </rPh>
    <rPh sb="111" eb="114">
      <t>ヒジョウジ</t>
    </rPh>
    <rPh sb="115" eb="118">
      <t>インリョウスイ</t>
    </rPh>
    <rPh sb="119" eb="121">
      <t>リヨウ</t>
    </rPh>
    <rPh sb="124" eb="125">
      <t>ツカ</t>
    </rPh>
    <rPh sb="126" eb="127">
      <t>カタ</t>
    </rPh>
    <rPh sb="130" eb="132">
      <t>チエ</t>
    </rPh>
    <rPh sb="140" eb="142">
      <t>ヨウヒン</t>
    </rPh>
    <rPh sb="143" eb="144">
      <t>フ</t>
    </rPh>
    <phoneticPr fontId="1"/>
  </si>
  <si>
    <t>第３版様式10ｇ</t>
  </si>
  <si>
    <t>第３版様式10ｅ</t>
  </si>
  <si>
    <t>代替連絡拠点名</t>
  </si>
  <si>
    <t>緊急時</t>
  </si>
  <si>
    <t>代替拠点緊急参集者及び役割</t>
  </si>
  <si>
    <t>携帯電話番号、携帯アドレス</t>
  </si>
  <si>
    <t>代替拠点への移動手段</t>
  </si>
  <si>
    <r>
      <t xml:space="preserve">注　拠点への地図、道順等が必要であれば備えます。また、拠点へ持ち込むものが必要であれば、
　　　リストにしておきます。
　　　小規模企業なら緊急参集者は少数でもかまいませんが、２人以上にすべきです。
　　　代行者は、人数の余裕がなければ、総括責任者以外は可能な範囲で決めるので足ります。
</t>
    </r>
    <r>
      <rPr>
        <sz val="10"/>
        <color indexed="8"/>
        <rFont val="ＭＳ Ｐゴシック"/>
      </rPr>
      <t xml:space="preserve">出典：NPO法人事業継続推進機構「中小企業BCPステップアップ・ガイド」(4.0版)1-7ページ。一部修正。
</t>
    </r>
  </si>
  <si>
    <t>第３版様式10d</t>
    <rPh sb="0" eb="1">
      <t>ダイ</t>
    </rPh>
    <rPh sb="2" eb="3">
      <t>ハン</t>
    </rPh>
    <rPh sb="3" eb="5">
      <t>ヨウシキ</t>
    </rPh>
    <phoneticPr fontId="1"/>
  </si>
  <si>
    <t>安否確認の責任者</t>
  </si>
  <si>
    <t>（電話や携帯電話が通じにくいことを考えて、携帯メールを
積極的に活用することが望ましい。）</t>
  </si>
  <si>
    <t>例：震度○以上の地震</t>
  </si>
  <si>
    <t>（例）社長</t>
  </si>
  <si>
    <t>連絡が取れない場合の対応</t>
  </si>
  <si>
    <t>会社から避難が必要となった場合に
するべき事項</t>
  </si>
  <si>
    <t>上記責任者の責務</t>
  </si>
  <si>
    <t>業務停止責任者（代理責任者）</t>
  </si>
  <si>
    <t>【参考様式5】従業員の連絡先</t>
    <rPh sb="1" eb="3">
      <t>サンコウ</t>
    </rPh>
    <phoneticPr fontId="1"/>
  </si>
  <si>
    <t>※　災害時は音声電話等はつながらいため、SMSや携帯メール、PCメールなど複数の連絡手段を用意しておくこと</t>
    <rPh sb="2" eb="5">
      <t>サイガイジ</t>
    </rPh>
    <rPh sb="6" eb="11">
      <t>オンセイデンワトウ</t>
    </rPh>
    <rPh sb="24" eb="26">
      <t>ケイタイ</t>
    </rPh>
    <rPh sb="37" eb="39">
      <t>フクスウ</t>
    </rPh>
    <rPh sb="40" eb="44">
      <t>レンラクシュダン</t>
    </rPh>
    <rPh sb="45" eb="47">
      <t>ヨウイ</t>
    </rPh>
    <phoneticPr fontId="1"/>
  </si>
  <si>
    <t>第３版様式10b</t>
  </si>
  <si>
    <t>災害対策本部の設置</t>
  </si>
  <si>
    <t>（例）○○専務（その次に○○常務）</t>
  </si>
  <si>
    <t>災害対策本部を設置する時期</t>
  </si>
  <si>
    <t>災害対策本部を設置する場所</t>
  </si>
  <si>
    <t>災害対策本部の代替設置場所</t>
  </si>
  <si>
    <t>【参考様式１】従業員・家族等への家庭ＢＣＰ（被災からの生活再建）</t>
    <rPh sb="0" eb="2">
      <t>セイカ</t>
    </rPh>
    <rPh sb="3" eb="5">
      <t>ヨウシキ</t>
    </rPh>
    <phoneticPr fontId="1"/>
  </si>
  <si>
    <t>家庭のＢＣＰの検討例</t>
    <rPh sb="0" eb="2">
      <t>カテイ</t>
    </rPh>
    <rPh sb="7" eb="10">
      <t>ケントウレイ</t>
    </rPh>
    <phoneticPr fontId="1"/>
  </si>
  <si>
    <r>
      <rPr>
        <b/>
        <sz val="12"/>
        <color rgb="FFFF0000"/>
        <rFont val="ＭＳ Ｐゴシック"/>
      </rPr>
      <t>　被災程度大</t>
    </r>
    <r>
      <rPr>
        <b/>
        <sz val="12"/>
        <color theme="1"/>
        <rFont val="ＭＳ Ｐゴシック"/>
      </rPr>
      <t>：マイ・タイムライン（最悪事態を想定／生活再建：自分達が被災支援制度の被災者になることを想定しての準備内容）</t>
    </r>
    <rPh sb="1" eb="3">
      <t>ヒサイ</t>
    </rPh>
    <rPh sb="3" eb="5">
      <t>テイド</t>
    </rPh>
    <rPh sb="5" eb="6">
      <t>ダイ</t>
    </rPh>
    <rPh sb="17" eb="19">
      <t>サイアク</t>
    </rPh>
    <rPh sb="19" eb="21">
      <t>ジタイ</t>
    </rPh>
    <rPh sb="22" eb="24">
      <t>ソウテイ</t>
    </rPh>
    <rPh sb="25" eb="29">
      <t>セイカツサイケン</t>
    </rPh>
    <rPh sb="30" eb="33">
      <t>ジブンタチ</t>
    </rPh>
    <rPh sb="34" eb="36">
      <t>ヒサイ</t>
    </rPh>
    <rPh sb="36" eb="38">
      <t>シエン</t>
    </rPh>
    <rPh sb="38" eb="40">
      <t>セイド</t>
    </rPh>
    <rPh sb="41" eb="44">
      <t>ヒサイシャ</t>
    </rPh>
    <rPh sb="50" eb="52">
      <t>ソウテイ</t>
    </rPh>
    <rPh sb="55" eb="57">
      <t>ジュンビ</t>
    </rPh>
    <rPh sb="57" eb="59">
      <t>ナイヨウ</t>
    </rPh>
    <phoneticPr fontId="1"/>
  </si>
  <si>
    <t>平時事前対策</t>
    <rPh sb="2" eb="4">
      <t>ジゼン</t>
    </rPh>
    <phoneticPr fontId="1"/>
  </si>
  <si>
    <t>　　必要事項を記入の上、全ての従業員に携行させます。</t>
  </si>
</sst>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ＭＳ Ｐゴシック"/>
      <family val="3"/>
      <scheme val="minor"/>
    </font>
    <font>
      <sz val="6"/>
      <color auto="1"/>
      <name val="ＭＳ Ｐゴシック"/>
      <family val="3"/>
    </font>
    <font>
      <sz val="10"/>
      <color theme="1"/>
      <name val="ＭＳ Ｐゴシック"/>
      <family val="3"/>
      <scheme val="minor"/>
    </font>
    <font>
      <b/>
      <sz val="12"/>
      <color theme="1"/>
      <name val="ＭＳ ゴシック"/>
      <family val="3"/>
    </font>
    <font>
      <b/>
      <sz val="14"/>
      <color theme="1"/>
      <name val="ＭＳ Ｐゴシック"/>
      <family val="3"/>
      <scheme val="minor"/>
    </font>
    <font>
      <b/>
      <sz val="12"/>
      <color rgb="FF000000"/>
      <name val="ＭＳ ゴシック"/>
      <family val="3"/>
    </font>
    <font>
      <sz val="10.5"/>
      <color theme="1"/>
      <name val="ＭＳ ゴシック"/>
      <family val="3"/>
    </font>
    <font>
      <u/>
      <sz val="11"/>
      <color theme="10"/>
      <name val="ＭＳ Ｐゴシック"/>
      <family val="3"/>
      <scheme val="minor"/>
    </font>
    <font>
      <sz val="12"/>
      <color theme="1"/>
      <name val="ＭＳ ゴシック"/>
      <family val="3"/>
    </font>
    <font>
      <sz val="11"/>
      <color theme="1"/>
      <name val="ＭＳ ゴシック"/>
      <family val="3"/>
    </font>
    <font>
      <sz val="10"/>
      <color theme="1"/>
      <name val="ＭＳ ゴシック"/>
      <family val="3"/>
    </font>
    <font>
      <b/>
      <sz val="11"/>
      <color rgb="FFFF0000"/>
      <name val="ＭＳ Ｐゴシック"/>
      <family val="3"/>
      <scheme val="minor"/>
    </font>
    <font>
      <b/>
      <sz val="12"/>
      <color theme="1"/>
      <name val="ＭＳ Ｐゴシック"/>
      <family val="3"/>
      <scheme val="minor"/>
    </font>
    <font>
      <sz val="11"/>
      <color rgb="FFFF0000"/>
      <name val="ＭＳ Ｐゴシック"/>
      <family val="3"/>
      <scheme val="minor"/>
    </font>
    <font>
      <b/>
      <sz val="12"/>
      <color rgb="FFFF0000"/>
      <name val="ＭＳ ゴシック"/>
      <family val="3"/>
    </font>
    <font>
      <sz val="11"/>
      <color rgb="FFFF0000"/>
      <name val="ＭＳ ゴシック"/>
      <family val="3"/>
    </font>
    <font>
      <sz val="12"/>
      <color theme="1"/>
      <name val="ＭＳ Ｐゴシック"/>
      <family val="3"/>
      <scheme val="minor"/>
    </font>
    <font>
      <sz val="10.5"/>
      <color rgb="FFFF0000"/>
      <name val="ＭＳ 明朝"/>
      <family val="1"/>
    </font>
    <font>
      <b/>
      <sz val="10.5"/>
      <color theme="1"/>
      <name val="ＭＳ ゴシック"/>
      <family val="3"/>
    </font>
    <font>
      <b/>
      <sz val="9"/>
      <color theme="1"/>
      <name val="ＭＳ ゴシック"/>
      <family val="3"/>
    </font>
    <font>
      <sz val="10"/>
      <color rgb="FFFF0000"/>
      <name val="ＭＳ ゴシック"/>
      <family val="3"/>
    </font>
    <font>
      <sz val="9"/>
      <color theme="1"/>
      <name val="ＭＳ ゴシック"/>
      <family val="3"/>
    </font>
  </fonts>
  <fills count="4">
    <fill>
      <patternFill patternType="none"/>
    </fill>
    <fill>
      <patternFill patternType="gray125"/>
    </fill>
    <fill>
      <patternFill patternType="solid">
        <fgColor theme="2" tint="0.8"/>
        <bgColor indexed="64"/>
      </patternFill>
    </fill>
    <fill>
      <patternFill patternType="solid">
        <fgColor theme="3" tint="0.6"/>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49">
    <xf numFmtId="0" fontId="0" fillId="0" borderId="0" xfId="0">
      <alignment vertical="center"/>
    </xf>
    <xf numFmtId="0" fontId="0" fillId="2" borderId="1" xfId="0" applyFill="1" applyBorder="1" applyAlignment="1">
      <alignment horizontal="center" vertical="center" wrapText="1"/>
    </xf>
    <xf numFmtId="0" fontId="2" fillId="0" borderId="1" xfId="0" applyFont="1" applyFill="1" applyBorder="1" applyAlignment="1">
      <alignment vertical="center" shrinkToFit="1"/>
    </xf>
    <xf numFmtId="0" fontId="0" fillId="0" borderId="1" xfId="0" applyFont="1" applyFill="1" applyBorder="1" applyAlignment="1">
      <alignment horizontal="right" vertical="center"/>
    </xf>
    <xf numFmtId="0" fontId="0" fillId="2" borderId="1" xfId="0" applyFill="1" applyBorder="1" applyAlignment="1">
      <alignment horizontal="center" vertical="center"/>
    </xf>
    <xf numFmtId="0" fontId="0" fillId="0" borderId="2" xfId="0" applyFont="1" applyFill="1" applyBorder="1" applyAlignment="1">
      <alignment horizontal="left" vertical="center"/>
    </xf>
    <xf numFmtId="0" fontId="0" fillId="0" borderId="1" xfId="0" applyFont="1" applyFill="1" applyBorder="1">
      <alignment vertical="center"/>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2" borderId="1" xfId="0" applyFill="1" applyBorder="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0" xfId="0" applyAlignment="1">
      <alignment horizontal="center" vertical="center" wrapText="1"/>
    </xf>
    <xf numFmtId="0" fontId="0" fillId="0" borderId="0" xfId="0" applyFont="1" applyFill="1" applyAlignment="1">
      <alignment horizontal="left" vertical="center"/>
    </xf>
    <xf numFmtId="0" fontId="0" fillId="3" borderId="2" xfId="0" applyFill="1" applyBorder="1" applyAlignment="1">
      <alignment horizontal="center" vertical="center"/>
    </xf>
    <xf numFmtId="0" fontId="0" fillId="0" borderId="2" xfId="0" applyBorder="1" applyAlignment="1">
      <alignment horizontal="right" vertical="center"/>
    </xf>
    <xf numFmtId="0" fontId="0" fillId="0"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0" xfId="0" applyAlignment="1">
      <alignment horizontal="right" vertical="center"/>
    </xf>
    <xf numFmtId="0" fontId="0" fillId="3" borderId="3" xfId="0" applyFill="1" applyBorder="1" applyAlignment="1">
      <alignment horizontal="center" vertical="center"/>
    </xf>
    <xf numFmtId="0" fontId="0" fillId="0" borderId="3" xfId="0" applyBorder="1" applyAlignment="1">
      <alignment horizontal="right" vertical="center"/>
    </xf>
    <xf numFmtId="0" fontId="0" fillId="0" borderId="4" xfId="0" applyFont="1" applyBorder="1" applyAlignment="1">
      <alignment horizontal="center" vertical="center"/>
    </xf>
    <xf numFmtId="0" fontId="0" fillId="0" borderId="4" xfId="0" applyBorder="1" applyAlignment="1">
      <alignment horizontal="right" vertical="center"/>
    </xf>
    <xf numFmtId="0" fontId="0" fillId="3" borderId="4" xfId="0"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Font="1" applyBorder="1" applyAlignment="1">
      <alignment horizontal="center" vertical="center" wrapText="1"/>
    </xf>
    <xf numFmtId="0" fontId="0" fillId="0" borderId="4" xfId="0" applyBorder="1" applyAlignment="1">
      <alignment horizontal="left" vertical="center" wrapText="1"/>
    </xf>
    <xf numFmtId="0" fontId="3" fillId="0" borderId="0" xfId="0" applyFont="1">
      <alignment vertical="center"/>
    </xf>
    <xf numFmtId="0" fontId="4" fillId="0" borderId="7" xfId="0" applyFont="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vertical="center" wrapText="1"/>
    </xf>
    <xf numFmtId="0" fontId="5" fillId="3" borderId="9" xfId="0" applyFont="1" applyFill="1" applyBorder="1" applyAlignment="1">
      <alignmen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6" fillId="0" borderId="0" xfId="0" applyFont="1" applyAlignment="1">
      <alignment horizontal="left" vertical="center"/>
    </xf>
    <xf numFmtId="0" fontId="7" fillId="0" borderId="0" xfId="1" applyAlignment="1">
      <alignment horizontal="left" vertical="center"/>
    </xf>
    <xf numFmtId="0" fontId="5" fillId="3" borderId="13" xfId="0" applyFont="1" applyFill="1" applyBorder="1" applyAlignment="1">
      <alignment horizontal="center" vertical="center" wrapText="1"/>
    </xf>
    <xf numFmtId="0" fontId="8" fillId="0" borderId="1" xfId="0" applyFont="1" applyBorder="1" applyAlignment="1">
      <alignment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0" fillId="0" borderId="5" xfId="0" applyBorder="1" applyAlignment="1">
      <alignment horizontal="center" vertical="center"/>
    </xf>
    <xf numFmtId="0" fontId="0" fillId="0" borderId="6" xfId="0" applyFont="1" applyBorder="1" applyAlignment="1">
      <alignment horizontal="center" vertical="center"/>
    </xf>
    <xf numFmtId="0" fontId="8" fillId="0" borderId="1" xfId="0" applyFont="1" applyBorder="1" applyAlignment="1">
      <alignment vertical="top" wrapText="1"/>
    </xf>
    <xf numFmtId="0" fontId="9" fillId="0" borderId="1" xfId="0" applyFont="1" applyBorder="1" applyAlignment="1">
      <alignment vertical="top"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0" xfId="0" applyFont="1">
      <alignmen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5" fillId="3" borderId="17"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3" xfId="0" applyFont="1" applyBorder="1" applyAlignment="1">
      <alignment vertical="center" wrapText="1"/>
    </xf>
    <xf numFmtId="0" fontId="9" fillId="0" borderId="2" xfId="0" applyFont="1" applyBorder="1" applyAlignment="1">
      <alignment vertical="top" wrapText="1"/>
    </xf>
    <xf numFmtId="0" fontId="8" fillId="0" borderId="21" xfId="0" applyFont="1" applyBorder="1" applyAlignment="1">
      <alignment horizontal="center" vertical="center" wrapText="1"/>
    </xf>
    <xf numFmtId="0" fontId="8" fillId="0" borderId="22" xfId="0" applyFont="1" applyBorder="1" applyAlignment="1">
      <alignment vertical="center" wrapText="1"/>
    </xf>
    <xf numFmtId="0" fontId="7" fillId="0" borderId="0" xfId="1">
      <alignment vertical="center"/>
    </xf>
    <xf numFmtId="0" fontId="0" fillId="0" borderId="23" xfId="0" applyBorder="1" applyAlignment="1">
      <alignment horizontal="left" vertical="center"/>
    </xf>
    <xf numFmtId="0" fontId="5" fillId="3" borderId="24" xfId="0" applyFont="1" applyFill="1" applyBorder="1" applyAlignment="1">
      <alignment horizontal="center"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27" xfId="0" applyBorder="1">
      <alignment vertical="center"/>
    </xf>
    <xf numFmtId="0" fontId="0" fillId="0" borderId="28" xfId="0" applyBorder="1">
      <alignment vertical="center"/>
    </xf>
    <xf numFmtId="0" fontId="9" fillId="0" borderId="25" xfId="0" applyFont="1" applyBorder="1" applyAlignment="1">
      <alignment vertical="top" wrapText="1"/>
    </xf>
    <xf numFmtId="0" fontId="8" fillId="0" borderId="29" xfId="0" applyFont="1" applyBorder="1" applyAlignment="1">
      <alignment horizontal="center" vertical="center" wrapText="1"/>
    </xf>
    <xf numFmtId="0" fontId="9" fillId="0" borderId="30" xfId="0" applyFont="1" applyBorder="1" applyAlignment="1">
      <alignment vertical="center" wrapText="1"/>
    </xf>
    <xf numFmtId="0" fontId="12" fillId="3" borderId="31" xfId="0" applyFont="1" applyFill="1" applyBorder="1" applyAlignment="1">
      <alignment horizontal="left" vertical="center"/>
    </xf>
    <xf numFmtId="0" fontId="5" fillId="3" borderId="32" xfId="0" applyFont="1" applyFill="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9" fillId="0" borderId="4" xfId="0" applyFont="1" applyBorder="1" applyAlignment="1">
      <alignment vertical="top" wrapText="1"/>
    </xf>
    <xf numFmtId="0" fontId="8" fillId="0" borderId="36" xfId="0" applyFont="1" applyBorder="1" applyAlignment="1">
      <alignment horizontal="center" vertical="center" wrapText="1"/>
    </xf>
    <xf numFmtId="0" fontId="9" fillId="0" borderId="37" xfId="0" applyFont="1" applyBorder="1" applyAlignment="1">
      <alignment vertical="center" wrapText="1"/>
    </xf>
    <xf numFmtId="0" fontId="12" fillId="3" borderId="38" xfId="0" applyFont="1" applyFill="1" applyBorder="1" applyAlignment="1">
      <alignment horizontal="left" vertical="center"/>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13" fillId="0" borderId="0" xfId="0" applyFont="1">
      <alignment vertical="center"/>
    </xf>
    <xf numFmtId="0" fontId="0" fillId="0" borderId="1" xfId="0" applyBorder="1">
      <alignment vertical="center"/>
    </xf>
    <xf numFmtId="0" fontId="9" fillId="0" borderId="1" xfId="0" applyFont="1" applyBorder="1" applyAlignment="1">
      <alignment horizontal="left" vertical="top" wrapText="1"/>
    </xf>
    <xf numFmtId="0" fontId="14" fillId="0" borderId="41" xfId="0" applyFont="1" applyBorder="1" applyAlignment="1">
      <alignment horizontal="left" vertical="top"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2" fillId="3" borderId="45" xfId="0" applyFont="1" applyFill="1" applyBorder="1" applyAlignment="1">
      <alignment horizontal="left" vertical="center"/>
    </xf>
    <xf numFmtId="0" fontId="5" fillId="3" borderId="46" xfId="0" applyFont="1" applyFill="1" applyBorder="1" applyAlignment="1">
      <alignment horizontal="center" vertical="center" wrapText="1"/>
    </xf>
    <xf numFmtId="0" fontId="9" fillId="0" borderId="47" xfId="0" applyFont="1" applyBorder="1" applyAlignment="1">
      <alignment vertical="center" wrapText="1"/>
    </xf>
    <xf numFmtId="0" fontId="15" fillId="0" borderId="48" xfId="0" applyFont="1" applyBorder="1" applyAlignment="1">
      <alignment horizontal="left" vertical="top" wrapText="1"/>
    </xf>
    <xf numFmtId="0" fontId="15" fillId="0" borderId="23" xfId="0" applyFont="1" applyBorder="1" applyAlignment="1">
      <alignment horizontal="left" vertical="top" wrapText="1"/>
    </xf>
    <xf numFmtId="0" fontId="15" fillId="0" borderId="49" xfId="0" applyFont="1" applyBorder="1" applyAlignment="1">
      <alignment horizontal="left" vertical="top" wrapText="1"/>
    </xf>
    <xf numFmtId="0" fontId="9" fillId="0" borderId="50" xfId="0" applyFont="1" applyBorder="1" applyAlignment="1">
      <alignment vertical="center" wrapText="1"/>
    </xf>
    <xf numFmtId="0" fontId="12" fillId="0" borderId="51" xfId="0" applyFont="1" applyBorder="1">
      <alignment vertical="center"/>
    </xf>
    <xf numFmtId="0" fontId="16" fillId="0" borderId="0" xfId="0" applyFont="1">
      <alignment vertical="center"/>
    </xf>
    <xf numFmtId="0" fontId="17" fillId="0" borderId="0" xfId="0" applyFont="1" applyAlignment="1">
      <alignment horizontal="justify" vertical="center"/>
    </xf>
    <xf numFmtId="0" fontId="6"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0" fillId="3" borderId="1" xfId="0" applyFill="1" applyBorder="1" applyAlignment="1">
      <alignment horizontal="left" vertical="center"/>
    </xf>
    <xf numFmtId="0" fontId="0" fillId="3" borderId="1" xfId="0" applyFill="1" applyBorder="1">
      <alignment vertical="center"/>
    </xf>
    <xf numFmtId="0" fontId="0" fillId="0" borderId="0" xfId="0" applyFill="1">
      <alignment vertical="center"/>
    </xf>
    <xf numFmtId="0" fontId="2" fillId="0" borderId="0" xfId="0" applyFont="1">
      <alignment vertical="center"/>
    </xf>
    <xf numFmtId="0" fontId="0" fillId="0" borderId="0" xfId="0" applyAlignment="1">
      <alignment horizontal="center" vertical="center"/>
    </xf>
    <xf numFmtId="0" fontId="0" fillId="0" borderId="44" xfId="0" applyBorder="1" applyAlignment="1">
      <alignment horizontal="left" vertical="center" wrapText="1"/>
    </xf>
    <xf numFmtId="0" fontId="2" fillId="3" borderId="1" xfId="0" applyFont="1" applyFill="1" applyBorder="1" applyAlignment="1">
      <alignment horizontal="center" vertical="center" wrapText="1"/>
    </xf>
    <xf numFmtId="0" fontId="0" fillId="3" borderId="1" xfId="0" applyFill="1" applyBorder="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xf>
    <xf numFmtId="0" fontId="6" fillId="3" borderId="1" xfId="0" applyFont="1" applyFill="1" applyBorder="1">
      <alignment vertical="center"/>
    </xf>
    <xf numFmtId="0" fontId="2" fillId="0" borderId="0" xfId="0" applyFont="1" applyAlignment="1">
      <alignment horizontal="left" vertical="top"/>
    </xf>
    <xf numFmtId="0" fontId="0" fillId="0" borderId="0" xfId="0" applyAlignment="1">
      <alignment horizontal="left" vertical="top"/>
    </xf>
    <xf numFmtId="0" fontId="0" fillId="3" borderId="1" xfId="0" applyFill="1" applyBorder="1" applyAlignment="1">
      <alignment horizontal="center" vertical="center" textRotation="255"/>
    </xf>
    <xf numFmtId="0" fontId="0" fillId="0" borderId="0" xfId="0" applyAlignment="1">
      <alignment horizontal="left" vertical="center" wrapText="1"/>
    </xf>
    <xf numFmtId="0" fontId="0" fillId="3" borderId="8" xfId="0" applyFill="1" applyBorder="1" applyAlignment="1">
      <alignment horizontal="center" vertical="center"/>
    </xf>
    <xf numFmtId="0" fontId="0" fillId="0" borderId="9" xfId="0" applyBorder="1">
      <alignment vertical="center"/>
    </xf>
    <xf numFmtId="0" fontId="0" fillId="0" borderId="11" xfId="0" applyBorder="1">
      <alignment vertical="center"/>
    </xf>
    <xf numFmtId="0" fontId="0" fillId="3" borderId="13" xfId="0" applyFill="1" applyBorder="1" applyAlignment="1">
      <alignment horizontal="center" vertical="center"/>
    </xf>
    <xf numFmtId="0" fontId="0" fillId="0" borderId="15" xfId="0" applyBorder="1">
      <alignment vertical="center"/>
    </xf>
    <xf numFmtId="0" fontId="0" fillId="3" borderId="46" xfId="0" applyFill="1" applyBorder="1" applyAlignment="1">
      <alignment horizontal="center" vertical="center"/>
    </xf>
    <xf numFmtId="0" fontId="0" fillId="0" borderId="47" xfId="0" applyBorder="1">
      <alignment vertical="center"/>
    </xf>
    <xf numFmtId="0" fontId="0" fillId="0" borderId="52" xfId="0" applyBorder="1">
      <alignment vertical="center"/>
    </xf>
    <xf numFmtId="0" fontId="0" fillId="3" borderId="2" xfId="0" applyFill="1" applyBorder="1" applyAlignment="1">
      <alignment horizontal="left" vertical="center"/>
    </xf>
    <xf numFmtId="0" fontId="0" fillId="3" borderId="1" xfId="0" applyFill="1" applyBorder="1" applyAlignment="1">
      <alignment horizontal="left" vertical="center" wrapText="1"/>
    </xf>
    <xf numFmtId="0" fontId="7" fillId="0" borderId="0" xfId="1" applyFill="1" applyBorder="1">
      <alignment vertical="center"/>
    </xf>
    <xf numFmtId="0" fontId="0" fillId="3" borderId="3" xfId="0" applyFill="1" applyBorder="1" applyAlignment="1">
      <alignment horizontal="left" vertical="center"/>
    </xf>
    <xf numFmtId="0" fontId="0" fillId="3" borderId="4" xfId="0" applyFill="1" applyBorder="1" applyAlignment="1">
      <alignment horizontal="left" vertical="center"/>
    </xf>
  </cellXfs>
  <cellStyles count="2">
    <cellStyle name="標準" xfId="0" builtinId="0"/>
    <cellStyle name="ハイパーリンク" xfId="1" builtinId="8"/>
  </cellStyles>
  <tableStyles count="0" defaultTableStyle="TableStyleMedium2" defaultPivotStyle="PivotStyleLight16"/>
  <colors>
    <mruColors>
      <color rgb="FF99CCFF"/>
      <color rgb="FF3399FF"/>
      <color rgb="FF698EE1"/>
      <color rgb="FF557FDD"/>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_rels/drawing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13970</xdr:colOff>
      <xdr:row>4</xdr:row>
      <xdr:rowOff>70485</xdr:rowOff>
    </xdr:from>
    <xdr:to xmlns:xdr="http://schemas.openxmlformats.org/drawingml/2006/spreadsheetDrawing">
      <xdr:col>3</xdr:col>
      <xdr:colOff>856615</xdr:colOff>
      <xdr:row>4</xdr:row>
      <xdr:rowOff>440690</xdr:rowOff>
    </xdr:to>
    <xdr:sp macro="" textlink="">
      <xdr:nvSpPr>
        <xdr:cNvPr id="2" name="吹き出し: 四角形 1"/>
        <xdr:cNvSpPr/>
      </xdr:nvSpPr>
      <xdr:spPr>
        <a:xfrm>
          <a:off x="3242945" y="1318260"/>
          <a:ext cx="842645" cy="370205"/>
        </a:xfrm>
        <a:prstGeom prst="wedgeRectCallout">
          <a:avLst>
            <a:gd name="adj1" fmla="val 82482"/>
            <a:gd name="adj2" fmla="val 7900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mlns:xdr="http://schemas.openxmlformats.org/drawingml/2006/spreadsheetDrawing">
      <xdr:col>2</xdr:col>
      <xdr:colOff>0</xdr:colOff>
      <xdr:row>4</xdr:row>
      <xdr:rowOff>24130</xdr:rowOff>
    </xdr:from>
    <xdr:to xmlns:xdr="http://schemas.openxmlformats.org/drawingml/2006/spreadsheetDrawing">
      <xdr:col>2</xdr:col>
      <xdr:colOff>756285</xdr:colOff>
      <xdr:row>4</xdr:row>
      <xdr:rowOff>392430</xdr:rowOff>
    </xdr:to>
    <xdr:sp macro="" textlink="">
      <xdr:nvSpPr>
        <xdr:cNvPr id="3" name="吹き出し: 四角形 2"/>
        <xdr:cNvSpPr/>
      </xdr:nvSpPr>
      <xdr:spPr>
        <a:xfrm>
          <a:off x="2152650" y="1271905"/>
          <a:ext cx="756285" cy="368300"/>
        </a:xfrm>
        <a:prstGeom prst="wedgeRectCallout">
          <a:avLst>
            <a:gd name="adj1" fmla="val 90029"/>
            <a:gd name="adj2" fmla="val 6789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xdr:row>
      <xdr:rowOff>104775</xdr:rowOff>
    </xdr:from>
    <xdr:to xmlns:xdr="http://schemas.openxmlformats.org/drawingml/2006/spreadsheetDrawing">
      <xdr:col>2</xdr:col>
      <xdr:colOff>295275</xdr:colOff>
      <xdr:row>28</xdr:row>
      <xdr:rowOff>104775</xdr:rowOff>
    </xdr:to>
    <xdr:grpSp>
      <xdr:nvGrpSpPr>
        <xdr:cNvPr id="2" name="Group 20"/>
        <xdr:cNvGrpSpPr>
          <a:grpSpLocks noChangeAspect="1"/>
        </xdr:cNvGrpSpPr>
      </xdr:nvGrpSpPr>
      <xdr:grpSpPr>
        <a:xfrm>
          <a:off x="0" y="800100"/>
          <a:ext cx="1666875" cy="4114800"/>
          <a:chOff x="1216" y="437"/>
          <a:chExt cx="2626" cy="6477"/>
        </a:xfrm>
      </xdr:grpSpPr>
      <xdr:sp macro="" textlink="">
        <xdr:nvSpPr>
          <xdr:cNvPr id="3" name="AutoShape 22"/>
          <xdr:cNvSpPr>
            <a:spLocks noChangeAspect="1" noChangeArrowheads="1" noTextEdit="1"/>
          </xdr:cNvSpPr>
        </xdr:nvSpPr>
        <xdr:spPr>
          <a:xfrm>
            <a:off x="1216" y="2702"/>
            <a:ext cx="2626" cy="4212"/>
          </a:xfrm>
          <a:prstGeom prst="rect">
            <a:avLst/>
          </a:prstGeom>
          <a:noFill/>
          <a:ln>
            <a:noFill/>
          </a:ln>
        </xdr:spPr>
      </xdr:sp>
      <xdr:sp macro="" textlink="">
        <xdr:nvSpPr>
          <xdr:cNvPr id="4" name="Text Box 21"/>
          <xdr:cNvSpPr txBox="1">
            <a:spLocks noChangeArrowheads="1"/>
          </xdr:cNvSpPr>
        </xdr:nvSpPr>
        <xdr:spPr>
          <a:xfrm>
            <a:off x="1411" y="437"/>
            <a:ext cx="2251" cy="3613"/>
          </a:xfrm>
          <a:prstGeom prst="rect">
            <a:avLst/>
          </a:prstGeom>
          <a:solidFill>
            <a:srgbClr val="FFFFFF"/>
          </a:solidFill>
          <a:ln w="9525">
            <a:solidFill>
              <a:srgbClr val="000000"/>
            </a:solidFill>
            <a:prstDash val="dash"/>
            <a:miter lim="800000"/>
            <a:headEnd/>
            <a:tailEnd/>
          </a:ln>
        </xdr:spPr>
        <xdr:txBody>
          <a:bodyPr vertOverflow="clip" horzOverflow="overflow" wrap="square" lIns="74295" tIns="8890" rIns="74295" bIns="8890" anchor="t" upright="1"/>
          <a:lstStyle/>
          <a:p>
            <a:pPr algn="l" rtl="0">
              <a:lnSpc>
                <a:spcPts val="1200"/>
              </a:lnSpc>
              <a:defRPr sz="1000"/>
            </a:pPr>
            <a:r>
              <a:rPr lang="ja-JP" altLang="en-US" sz="1000" b="0" i="0" u="none" strike="noStrike" baseline="0">
                <a:solidFill>
                  <a:srgbClr val="FF0000"/>
                </a:solidFill>
                <a:latin typeface="ＭＳ ゴシック"/>
                <a:ea typeface="ＭＳ ゴシック"/>
              </a:rPr>
              <a:t>災害対策本部長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代理① ○○常務</a:t>
            </a:r>
            <a:endParaRPr lang="ja-JP" altLang="en-US" sz="1050" b="0" i="0" u="none" strike="noStrike" baseline="0">
              <a:solidFill>
                <a:srgbClr val="FF0000"/>
              </a:solidFill>
              <a:latin typeface="ＭＳ 明朝"/>
              <a:ea typeface="ＭＳ 明朝"/>
            </a:endParaRPr>
          </a:p>
          <a:p>
            <a:pPr algn="l" rtl="0">
              <a:defRPr sz="1000"/>
            </a:pPr>
            <a:r>
              <a:rPr lang="ja-JP" altLang="en-US" sz="1000" b="0" i="0" u="none" strike="noStrike" baseline="0">
                <a:solidFill>
                  <a:srgbClr val="FF0000"/>
                </a:solidFill>
                <a:latin typeface="ＭＳ ゴシック"/>
                <a:ea typeface="ＭＳ ゴシック"/>
              </a:rPr>
              <a:t>代理② ○○部長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　代理③ ○○部長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事務局長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代理① ○○部長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代理② ○○次長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代理③ ○○次長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a:t>
            </a:r>
          </a:p>
        </xdr:txBody>
      </xdr:sp>
    </xdr:grpSp>
    <xdr:clientData/>
  </xdr:twoCellAnchor>
  <xdr:twoCellAnchor>
    <xdr:from xmlns:xdr="http://schemas.openxmlformats.org/drawingml/2006/spreadsheetDrawing">
      <xdr:col>0</xdr:col>
      <xdr:colOff>133350</xdr:colOff>
      <xdr:row>26</xdr:row>
      <xdr:rowOff>95250</xdr:rowOff>
    </xdr:from>
    <xdr:to xmlns:xdr="http://schemas.openxmlformats.org/drawingml/2006/spreadsheetDrawing">
      <xdr:col>2</xdr:col>
      <xdr:colOff>28575</xdr:colOff>
      <xdr:row>33</xdr:row>
      <xdr:rowOff>114300</xdr:rowOff>
    </xdr:to>
    <xdr:sp macro="" textlink="">
      <xdr:nvSpPr>
        <xdr:cNvPr id="5" name="Text Box 19"/>
        <xdr:cNvSpPr txBox="1">
          <a:spLocks noChangeArrowheads="1"/>
        </xdr:cNvSpPr>
      </xdr:nvSpPr>
      <xdr:spPr>
        <a:xfrm>
          <a:off x="133350" y="4562475"/>
          <a:ext cx="1266825" cy="121920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総 務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○○部長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2</xdr:col>
      <xdr:colOff>76200</xdr:colOff>
      <xdr:row>26</xdr:row>
      <xdr:rowOff>114300</xdr:rowOff>
    </xdr:from>
    <xdr:to xmlns:xdr="http://schemas.openxmlformats.org/drawingml/2006/spreadsheetDrawing">
      <xdr:col>3</xdr:col>
      <xdr:colOff>657225</xdr:colOff>
      <xdr:row>33</xdr:row>
      <xdr:rowOff>143510</xdr:rowOff>
    </xdr:to>
    <xdr:sp macro="" textlink="">
      <xdr:nvSpPr>
        <xdr:cNvPr id="6" name="Text Box 18"/>
        <xdr:cNvSpPr txBox="1">
          <a:spLocks noChangeArrowheads="1"/>
        </xdr:cNvSpPr>
      </xdr:nvSpPr>
      <xdr:spPr>
        <a:xfrm>
          <a:off x="1447800" y="4581525"/>
          <a:ext cx="1266825" cy="122936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業 務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○○課長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3</xdr:col>
      <xdr:colOff>647700</xdr:colOff>
      <xdr:row>27</xdr:row>
      <xdr:rowOff>0</xdr:rowOff>
    </xdr:from>
    <xdr:to xmlns:xdr="http://schemas.openxmlformats.org/drawingml/2006/spreadsheetDrawing">
      <xdr:col>5</xdr:col>
      <xdr:colOff>590550</xdr:colOff>
      <xdr:row>34</xdr:row>
      <xdr:rowOff>38100</xdr:rowOff>
    </xdr:to>
    <xdr:sp macro="" textlink="">
      <xdr:nvSpPr>
        <xdr:cNvPr id="7" name="Text Box 17"/>
        <xdr:cNvSpPr txBox="1">
          <a:spLocks noChangeArrowheads="1"/>
        </xdr:cNvSpPr>
      </xdr:nvSpPr>
      <xdr:spPr>
        <a:xfrm>
          <a:off x="2705100" y="4638675"/>
          <a:ext cx="1314450" cy="123825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対 外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○○課長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6</xdr:col>
      <xdr:colOff>9525</xdr:colOff>
      <xdr:row>27</xdr:row>
      <xdr:rowOff>0</xdr:rowOff>
    </xdr:from>
    <xdr:to xmlns:xdr="http://schemas.openxmlformats.org/drawingml/2006/spreadsheetDrawing">
      <xdr:col>7</xdr:col>
      <xdr:colOff>628650</xdr:colOff>
      <xdr:row>34</xdr:row>
      <xdr:rowOff>66675</xdr:rowOff>
    </xdr:to>
    <xdr:sp macro="" textlink="">
      <xdr:nvSpPr>
        <xdr:cNvPr id="8" name="Text Box 16"/>
        <xdr:cNvSpPr txBox="1">
          <a:spLocks noChangeArrowheads="1"/>
        </xdr:cNvSpPr>
      </xdr:nvSpPr>
      <xdr:spPr>
        <a:xfrm>
          <a:off x="4124325" y="4638675"/>
          <a:ext cx="1304925" cy="1266825"/>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支 援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○○課長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4</xdr:col>
      <xdr:colOff>581025</xdr:colOff>
      <xdr:row>24</xdr:row>
      <xdr:rowOff>0</xdr:rowOff>
    </xdr:from>
    <xdr:to xmlns:xdr="http://schemas.openxmlformats.org/drawingml/2006/spreadsheetDrawing">
      <xdr:col>4</xdr:col>
      <xdr:colOff>581025</xdr:colOff>
      <xdr:row>26</xdr:row>
      <xdr:rowOff>95250</xdr:rowOff>
    </xdr:to>
    <xdr:sp macro="" textlink="">
      <xdr:nvSpPr>
        <xdr:cNvPr id="9" name="Line 7"/>
        <xdr:cNvSpPr>
          <a:spLocks noChangeShapeType="1"/>
        </xdr:cNvSpPr>
      </xdr:nvSpPr>
      <xdr:spPr>
        <a:xfrm flipH="1">
          <a:off x="3324225" y="4124325"/>
          <a:ext cx="0" cy="43815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6</xdr:col>
      <xdr:colOff>561975</xdr:colOff>
      <xdr:row>24</xdr:row>
      <xdr:rowOff>0</xdr:rowOff>
    </xdr:from>
    <xdr:to xmlns:xdr="http://schemas.openxmlformats.org/drawingml/2006/spreadsheetDrawing">
      <xdr:col>6</xdr:col>
      <xdr:colOff>561975</xdr:colOff>
      <xdr:row>26</xdr:row>
      <xdr:rowOff>95250</xdr:rowOff>
    </xdr:to>
    <xdr:sp macro="" textlink="">
      <xdr:nvSpPr>
        <xdr:cNvPr id="10" name="Line 6"/>
        <xdr:cNvSpPr>
          <a:spLocks noChangeShapeType="1"/>
        </xdr:cNvSpPr>
      </xdr:nvSpPr>
      <xdr:spPr>
        <a:xfrm>
          <a:off x="4676775" y="4124325"/>
          <a:ext cx="0" cy="43815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0</xdr:col>
      <xdr:colOff>0</xdr:colOff>
      <xdr:row>41</xdr:row>
      <xdr:rowOff>161925</xdr:rowOff>
    </xdr:from>
    <xdr:to xmlns:xdr="http://schemas.openxmlformats.org/drawingml/2006/spreadsheetDrawing">
      <xdr:col>7</xdr:col>
      <xdr:colOff>657225</xdr:colOff>
      <xdr:row>45</xdr:row>
      <xdr:rowOff>161925</xdr:rowOff>
    </xdr:to>
    <xdr:sp macro="" textlink="">
      <xdr:nvSpPr>
        <xdr:cNvPr id="11" name="Text Box 2"/>
        <xdr:cNvSpPr txBox="1">
          <a:spLocks noChangeArrowheads="1"/>
        </xdr:cNvSpPr>
      </xdr:nvSpPr>
      <xdr:spPr>
        <a:xfrm>
          <a:off x="0" y="7200900"/>
          <a:ext cx="5457825" cy="685800"/>
        </a:xfrm>
        <a:prstGeom prst="rect">
          <a:avLst/>
        </a:prstGeom>
        <a:solidFill>
          <a:srgbClr val="FFFFFF"/>
        </a:solidFill>
        <a:ln w="9525">
          <a:solidFill>
            <a:srgbClr val="000000"/>
          </a:solidFill>
          <a:miter lim="800000"/>
          <a:headEnd/>
          <a:tailEnd/>
        </a:ln>
        <a:effectLst/>
      </xdr:spPr>
      <xdr:txBody>
        <a:bodyPr vertOverflow="clip" horzOverflow="overflow" wrap="square" lIns="74295" tIns="8890" rIns="74295" bIns="8890" anchor="t" upright="1"/>
        <a:lstStyle/>
        <a:p>
          <a:pPr algn="l" rtl="0">
            <a:lnSpc>
              <a:spcPts val="1000"/>
            </a:lnSpc>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参集要領</a:t>
          </a: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１．震度５弱（注：例示）以上の地震が発生した場合、事務局長・各班長は至急、　　　　対策本部へ集合。</a:t>
          </a:r>
          <a:endParaRPr lang="ja-JP" altLang="en-US" sz="105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２．上記以外の災害、事故時は、事務局から各班の班長（部課長）へ連絡。</a:t>
          </a:r>
          <a:endParaRPr lang="ja-JP" altLang="en-US" sz="105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３．上記連絡を受けた班長は、班内所属従業員へ別に定める連絡網にて連絡。</a:t>
          </a:r>
          <a:endParaRPr lang="ja-JP" altLang="en-US" sz="105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0</xdr:col>
      <xdr:colOff>66675</xdr:colOff>
      <xdr:row>34</xdr:row>
      <xdr:rowOff>38100</xdr:rowOff>
    </xdr:from>
    <xdr:to xmlns:xdr="http://schemas.openxmlformats.org/drawingml/2006/spreadsheetDrawing">
      <xdr:col>1</xdr:col>
      <xdr:colOff>657225</xdr:colOff>
      <xdr:row>39</xdr:row>
      <xdr:rowOff>66675</xdr:rowOff>
    </xdr:to>
    <xdr:sp macro="" textlink="">
      <xdr:nvSpPr>
        <xdr:cNvPr id="12" name="Text Box 15"/>
        <xdr:cNvSpPr txBox="1">
          <a:spLocks noChangeArrowheads="1"/>
        </xdr:cNvSpPr>
      </xdr:nvSpPr>
      <xdr:spPr>
        <a:xfrm>
          <a:off x="66675" y="5876925"/>
          <a:ext cx="1276350" cy="885825"/>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総　務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2</xdr:col>
      <xdr:colOff>66675</xdr:colOff>
      <xdr:row>34</xdr:row>
      <xdr:rowOff>76200</xdr:rowOff>
    </xdr:from>
    <xdr:to xmlns:xdr="http://schemas.openxmlformats.org/drawingml/2006/spreadsheetDrawing">
      <xdr:col>3</xdr:col>
      <xdr:colOff>638175</xdr:colOff>
      <xdr:row>39</xdr:row>
      <xdr:rowOff>104775</xdr:rowOff>
    </xdr:to>
    <xdr:sp macro="" textlink="">
      <xdr:nvSpPr>
        <xdr:cNvPr id="13" name="Text Box 14"/>
        <xdr:cNvSpPr txBox="1">
          <a:spLocks noChangeArrowheads="1"/>
        </xdr:cNvSpPr>
      </xdr:nvSpPr>
      <xdr:spPr>
        <a:xfrm>
          <a:off x="1438275" y="5915025"/>
          <a:ext cx="1257300" cy="885825"/>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業　務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4</xdr:col>
      <xdr:colOff>19050</xdr:colOff>
      <xdr:row>34</xdr:row>
      <xdr:rowOff>57150</xdr:rowOff>
    </xdr:from>
    <xdr:to xmlns:xdr="http://schemas.openxmlformats.org/drawingml/2006/spreadsheetDrawing">
      <xdr:col>5</xdr:col>
      <xdr:colOff>628650</xdr:colOff>
      <xdr:row>39</xdr:row>
      <xdr:rowOff>76200</xdr:rowOff>
    </xdr:to>
    <xdr:sp macro="" textlink="">
      <xdr:nvSpPr>
        <xdr:cNvPr id="14" name="Text Box 13"/>
        <xdr:cNvSpPr txBox="1">
          <a:spLocks noChangeArrowheads="1"/>
        </xdr:cNvSpPr>
      </xdr:nvSpPr>
      <xdr:spPr>
        <a:xfrm>
          <a:off x="2762250" y="5895975"/>
          <a:ext cx="1295400" cy="876300"/>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対　外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5</xdr:col>
      <xdr:colOff>666750</xdr:colOff>
      <xdr:row>34</xdr:row>
      <xdr:rowOff>76200</xdr:rowOff>
    </xdr:from>
    <xdr:to xmlns:xdr="http://schemas.openxmlformats.org/drawingml/2006/spreadsheetDrawing">
      <xdr:col>7</xdr:col>
      <xdr:colOff>600075</xdr:colOff>
      <xdr:row>39</xdr:row>
      <xdr:rowOff>104775</xdr:rowOff>
    </xdr:to>
    <xdr:sp macro="" textlink="">
      <xdr:nvSpPr>
        <xdr:cNvPr id="15" name="Text Box 12"/>
        <xdr:cNvSpPr txBox="1">
          <a:spLocks noChangeArrowheads="1"/>
        </xdr:cNvSpPr>
      </xdr:nvSpPr>
      <xdr:spPr>
        <a:xfrm>
          <a:off x="4095750" y="5915025"/>
          <a:ext cx="1304925" cy="885825"/>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支　援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1</xdr:col>
      <xdr:colOff>9525</xdr:colOff>
      <xdr:row>24</xdr:row>
      <xdr:rowOff>0</xdr:rowOff>
    </xdr:from>
    <xdr:to xmlns:xdr="http://schemas.openxmlformats.org/drawingml/2006/spreadsheetDrawing">
      <xdr:col>1</xdr:col>
      <xdr:colOff>9525</xdr:colOff>
      <xdr:row>26</xdr:row>
      <xdr:rowOff>114300</xdr:rowOff>
    </xdr:to>
    <xdr:sp macro="" textlink="">
      <xdr:nvSpPr>
        <xdr:cNvPr id="16" name="Line 5"/>
        <xdr:cNvSpPr>
          <a:spLocks noChangeShapeType="1"/>
        </xdr:cNvSpPr>
      </xdr:nvSpPr>
      <xdr:spPr>
        <a:xfrm>
          <a:off x="695325" y="4124325"/>
          <a:ext cx="0" cy="45720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2</xdr:col>
      <xdr:colOff>628650</xdr:colOff>
      <xdr:row>32</xdr:row>
      <xdr:rowOff>152400</xdr:rowOff>
    </xdr:from>
    <xdr:to xmlns:xdr="http://schemas.openxmlformats.org/drawingml/2006/spreadsheetDrawing">
      <xdr:col>2</xdr:col>
      <xdr:colOff>638175</xdr:colOff>
      <xdr:row>33</xdr:row>
      <xdr:rowOff>123825</xdr:rowOff>
    </xdr:to>
    <xdr:sp macro="" textlink="">
      <xdr:nvSpPr>
        <xdr:cNvPr id="17" name="Line 11"/>
        <xdr:cNvSpPr>
          <a:spLocks noChangeShapeType="1"/>
        </xdr:cNvSpPr>
      </xdr:nvSpPr>
      <xdr:spPr>
        <a:xfrm>
          <a:off x="2000250" y="5648325"/>
          <a:ext cx="9525" cy="14287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4</xdr:col>
      <xdr:colOff>572135</xdr:colOff>
      <xdr:row>32</xdr:row>
      <xdr:rowOff>133350</xdr:rowOff>
    </xdr:from>
    <xdr:to xmlns:xdr="http://schemas.openxmlformats.org/drawingml/2006/spreadsheetDrawing">
      <xdr:col>4</xdr:col>
      <xdr:colOff>572135</xdr:colOff>
      <xdr:row>33</xdr:row>
      <xdr:rowOff>104775</xdr:rowOff>
    </xdr:to>
    <xdr:sp macro="" textlink="">
      <xdr:nvSpPr>
        <xdr:cNvPr id="18" name="Line 10"/>
        <xdr:cNvSpPr>
          <a:spLocks noChangeShapeType="1"/>
        </xdr:cNvSpPr>
      </xdr:nvSpPr>
      <xdr:spPr>
        <a:xfrm>
          <a:off x="3315335" y="5629275"/>
          <a:ext cx="0" cy="14287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6</xdr:col>
      <xdr:colOff>542925</xdr:colOff>
      <xdr:row>32</xdr:row>
      <xdr:rowOff>123825</xdr:rowOff>
    </xdr:from>
    <xdr:to xmlns:xdr="http://schemas.openxmlformats.org/drawingml/2006/spreadsheetDrawing">
      <xdr:col>6</xdr:col>
      <xdr:colOff>552450</xdr:colOff>
      <xdr:row>33</xdr:row>
      <xdr:rowOff>133350</xdr:rowOff>
    </xdr:to>
    <xdr:sp macro="" textlink="">
      <xdr:nvSpPr>
        <xdr:cNvPr id="19" name="Line 9"/>
        <xdr:cNvSpPr>
          <a:spLocks noChangeShapeType="1"/>
        </xdr:cNvSpPr>
      </xdr:nvSpPr>
      <xdr:spPr>
        <a:xfrm>
          <a:off x="4657725" y="5619750"/>
          <a:ext cx="9525" cy="18097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5</xdr:col>
      <xdr:colOff>142875</xdr:colOff>
      <xdr:row>14</xdr:row>
      <xdr:rowOff>38100</xdr:rowOff>
    </xdr:from>
    <xdr:to xmlns:xdr="http://schemas.openxmlformats.org/drawingml/2006/spreadsheetDrawing">
      <xdr:col>7</xdr:col>
      <xdr:colOff>0</xdr:colOff>
      <xdr:row>21</xdr:row>
      <xdr:rowOff>29210</xdr:rowOff>
    </xdr:to>
    <xdr:sp macro="" textlink="">
      <xdr:nvSpPr>
        <xdr:cNvPr id="20" name="Text Box 26"/>
        <xdr:cNvSpPr txBox="1">
          <a:spLocks noChangeArrowheads="1"/>
        </xdr:cNvSpPr>
      </xdr:nvSpPr>
      <xdr:spPr>
        <a:xfrm>
          <a:off x="3571875" y="2447925"/>
          <a:ext cx="1228725" cy="119126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災害対策副本部長</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○○常務</a:t>
          </a:r>
        </a:p>
        <a:p>
          <a:pPr algn="l" rtl="0">
            <a:lnSpc>
              <a:spcPts val="1100"/>
            </a:lnSpc>
            <a:defRPr sz="1000"/>
          </a:pPr>
          <a:r>
            <a:rPr lang="ja-JP" altLang="en-US" sz="900" b="0" i="0" u="none" strike="noStrike" baseline="0">
              <a:solidFill>
                <a:srgbClr val="000000"/>
              </a:solidFill>
              <a:latin typeface="ＭＳ ゴシック"/>
              <a:ea typeface="ＭＳ ゴシック"/>
            </a:rPr>
            <a:t>○○市○○</a:t>
          </a:r>
        </a:p>
        <a:p>
          <a:pPr algn="l" rtl="0">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3</xdr:col>
      <xdr:colOff>66675</xdr:colOff>
      <xdr:row>12</xdr:row>
      <xdr:rowOff>76200</xdr:rowOff>
    </xdr:from>
    <xdr:to xmlns:xdr="http://schemas.openxmlformats.org/drawingml/2006/spreadsheetDrawing">
      <xdr:col>4</xdr:col>
      <xdr:colOff>628650</xdr:colOff>
      <xdr:row>19</xdr:row>
      <xdr:rowOff>19050</xdr:rowOff>
    </xdr:to>
    <xdr:sp macro="" textlink="">
      <xdr:nvSpPr>
        <xdr:cNvPr id="21" name="Text Box 30"/>
        <xdr:cNvSpPr txBox="1">
          <a:spLocks noChangeArrowheads="1"/>
        </xdr:cNvSpPr>
      </xdr:nvSpPr>
      <xdr:spPr>
        <a:xfrm>
          <a:off x="2124075" y="2143125"/>
          <a:ext cx="1247775" cy="114300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災害対策本部長</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○○専務</a:t>
          </a:r>
        </a:p>
        <a:p>
          <a:pPr algn="l" rtl="0">
            <a:defRPr sz="1000"/>
          </a:pPr>
          <a:r>
            <a:rPr lang="ja-JP" altLang="en-US" sz="900" b="0" i="0" u="none" strike="noStrike" baseline="0">
              <a:solidFill>
                <a:srgbClr val="000000"/>
              </a:solidFill>
              <a:latin typeface="ＭＳ ゴシック"/>
              <a:ea typeface="ＭＳ ゴシック"/>
            </a:rPr>
            <a:t>○○市○○</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5</xdr:col>
      <xdr:colOff>219075</xdr:colOff>
      <xdr:row>19</xdr:row>
      <xdr:rowOff>123825</xdr:rowOff>
    </xdr:from>
    <xdr:to xmlns:xdr="http://schemas.openxmlformats.org/drawingml/2006/spreadsheetDrawing">
      <xdr:col>9</xdr:col>
      <xdr:colOff>95250</xdr:colOff>
      <xdr:row>24</xdr:row>
      <xdr:rowOff>152400</xdr:rowOff>
    </xdr:to>
    <xdr:sp macro="" textlink="">
      <xdr:nvSpPr>
        <xdr:cNvPr id="22" name="Text Box 25"/>
        <xdr:cNvSpPr txBox="1">
          <a:spLocks noChangeArrowheads="1"/>
        </xdr:cNvSpPr>
      </xdr:nvSpPr>
      <xdr:spPr>
        <a:xfrm>
          <a:off x="3648075" y="3390900"/>
          <a:ext cx="2619375" cy="885825"/>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事務局</a:t>
          </a:r>
          <a:r>
            <a:rPr lang="en-US" altLang="ja-JP" sz="900" b="1" i="0" u="none" strike="noStrike" baseline="0">
              <a:solidFill>
                <a:srgbClr val="000000"/>
              </a:solidFill>
              <a:latin typeface="ＭＳ ゴシック"/>
              <a:ea typeface="ＭＳ ゴシック"/>
            </a:rPr>
            <a:t>(</a:t>
          </a:r>
          <a:r>
            <a:rPr lang="ja-JP" altLang="en-US" sz="900" b="1" i="0" u="none" strike="noStrike" baseline="0">
              <a:solidFill>
                <a:srgbClr val="000000"/>
              </a:solidFill>
              <a:latin typeface="ＭＳ ゴシック"/>
              <a:ea typeface="ＭＳ ゴシック"/>
            </a:rPr>
            <a:t>総務部</a:t>
          </a:r>
          <a:r>
            <a:rPr lang="en-US" altLang="ja-JP" sz="900" b="1" i="0" u="none" strike="noStrike" baseline="0">
              <a:solidFill>
                <a:srgbClr val="000000"/>
              </a:solidFill>
              <a:latin typeface="ＭＳ ゴシック"/>
              <a:ea typeface="ＭＳ ゴシック"/>
            </a:rPr>
            <a:t>)</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事務局長</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○○部長　○○市○○町　℡ </a:t>
          </a:r>
          <a:r>
            <a:rPr lang="en-US" altLang="ja-JP" sz="900" b="0" i="0" u="none" strike="noStrike" baseline="0">
              <a:solidFill>
                <a:srgbClr val="000000"/>
              </a:solidFill>
              <a:latin typeface="ＭＳ ゴシック"/>
              <a:ea typeface="ＭＳ ゴシック"/>
            </a:rPr>
            <a:t>000-000-0000</a:t>
          </a:r>
          <a:r>
            <a:rPr lang="ja-JP" altLang="en-US" sz="90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r>
            <a:rPr lang="ja-JP" altLang="en-US" sz="900" b="0" i="0" u="none" strike="noStrike" baseline="0">
              <a:solidFill>
                <a:srgbClr val="000000"/>
              </a:solidFill>
              <a:latin typeface="ＭＳ ゴシック"/>
              <a:ea typeface="ＭＳ ゴシック"/>
            </a:rPr>
            <a:t>　携帯メールアドレス</a:t>
          </a: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4</xdr:col>
      <xdr:colOff>628650</xdr:colOff>
      <xdr:row>17</xdr:row>
      <xdr:rowOff>95250</xdr:rowOff>
    </xdr:from>
    <xdr:to xmlns:xdr="http://schemas.openxmlformats.org/drawingml/2006/spreadsheetDrawing">
      <xdr:col>5</xdr:col>
      <xdr:colOff>142875</xdr:colOff>
      <xdr:row>17</xdr:row>
      <xdr:rowOff>95250</xdr:rowOff>
    </xdr:to>
    <xdr:sp macro="" textlink="">
      <xdr:nvSpPr>
        <xdr:cNvPr id="23" name="Line 29"/>
        <xdr:cNvSpPr>
          <a:spLocks noChangeShapeType="1"/>
        </xdr:cNvSpPr>
      </xdr:nvSpPr>
      <xdr:spPr>
        <a:xfrm>
          <a:off x="3371850" y="3019425"/>
          <a:ext cx="200025" cy="0"/>
        </a:xfrm>
        <a:prstGeom prst="line">
          <a:avLst/>
        </a:prstGeom>
        <a:noFill/>
        <a:ln w="19050">
          <a:solidFill>
            <a:srgbClr val="000000"/>
          </a:solidFill>
          <a:round/>
          <a:headEnd type="triangle" w="med" len="med"/>
          <a:tailEnd type="triangle" w="med" len="med"/>
        </a:ln>
      </xdr:spPr>
    </xdr:sp>
    <xdr:clientData/>
  </xdr:twoCellAnchor>
  <xdr:twoCellAnchor>
    <xdr:from xmlns:xdr="http://schemas.openxmlformats.org/drawingml/2006/spreadsheetDrawing">
      <xdr:col>1</xdr:col>
      <xdr:colOff>9525</xdr:colOff>
      <xdr:row>32</xdr:row>
      <xdr:rowOff>161925</xdr:rowOff>
    </xdr:from>
    <xdr:to xmlns:xdr="http://schemas.openxmlformats.org/drawingml/2006/spreadsheetDrawing">
      <xdr:col>1</xdr:col>
      <xdr:colOff>9525</xdr:colOff>
      <xdr:row>33</xdr:row>
      <xdr:rowOff>114300</xdr:rowOff>
    </xdr:to>
    <xdr:sp macro="" textlink="">
      <xdr:nvSpPr>
        <xdr:cNvPr id="24" name="Line 8"/>
        <xdr:cNvSpPr>
          <a:spLocks noChangeShapeType="1"/>
        </xdr:cNvSpPr>
      </xdr:nvSpPr>
      <xdr:spPr>
        <a:xfrm>
          <a:off x="695325" y="5657850"/>
          <a:ext cx="0" cy="12382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5</xdr:col>
      <xdr:colOff>47625</xdr:colOff>
      <xdr:row>10</xdr:row>
      <xdr:rowOff>66675</xdr:rowOff>
    </xdr:from>
    <xdr:to xmlns:xdr="http://schemas.openxmlformats.org/drawingml/2006/spreadsheetDrawing">
      <xdr:col>7</xdr:col>
      <xdr:colOff>514350</xdr:colOff>
      <xdr:row>10</xdr:row>
      <xdr:rowOff>66675</xdr:rowOff>
    </xdr:to>
    <xdr:sp macro="" textlink="">
      <xdr:nvSpPr>
        <xdr:cNvPr id="25" name="Line 27"/>
        <xdr:cNvSpPr>
          <a:spLocks noChangeShapeType="1"/>
        </xdr:cNvSpPr>
      </xdr:nvSpPr>
      <xdr:spPr>
        <a:xfrm flipH="1" flipV="1">
          <a:off x="3476625" y="1790700"/>
          <a:ext cx="1838325" cy="0"/>
        </a:xfrm>
        <a:prstGeom prst="line">
          <a:avLst/>
        </a:prstGeom>
        <a:noFill/>
        <a:ln w="19050">
          <a:solidFill>
            <a:srgbClr val="000000"/>
          </a:solidFill>
          <a:prstDash val="sysDot"/>
          <a:round/>
          <a:headEnd/>
          <a:tailEnd type="triangle" w="med" len="med"/>
        </a:ln>
      </xdr:spPr>
    </xdr:sp>
    <xdr:clientData/>
  </xdr:twoCellAnchor>
  <xdr:twoCellAnchor>
    <xdr:from xmlns:xdr="http://schemas.openxmlformats.org/drawingml/2006/spreadsheetDrawing">
      <xdr:col>7</xdr:col>
      <xdr:colOff>66675</xdr:colOff>
      <xdr:row>15</xdr:row>
      <xdr:rowOff>95250</xdr:rowOff>
    </xdr:from>
    <xdr:to xmlns:xdr="http://schemas.openxmlformats.org/drawingml/2006/spreadsheetDrawing">
      <xdr:col>7</xdr:col>
      <xdr:colOff>561975</xdr:colOff>
      <xdr:row>15</xdr:row>
      <xdr:rowOff>95250</xdr:rowOff>
    </xdr:to>
    <xdr:sp macro="" textlink="">
      <xdr:nvSpPr>
        <xdr:cNvPr id="26" name="Line 31"/>
        <xdr:cNvSpPr>
          <a:spLocks noChangeShapeType="1"/>
        </xdr:cNvSpPr>
      </xdr:nvSpPr>
      <xdr:spPr>
        <a:xfrm flipH="1" flipV="1">
          <a:off x="4867275" y="2676525"/>
          <a:ext cx="495300" cy="0"/>
        </a:xfrm>
        <a:prstGeom prst="line">
          <a:avLst/>
        </a:prstGeom>
        <a:noFill/>
        <a:ln w="19050">
          <a:solidFill>
            <a:srgbClr val="000000"/>
          </a:solidFill>
          <a:prstDash val="sysDot"/>
          <a:round/>
          <a:headEnd/>
          <a:tailEnd type="triangle" w="med" len="med"/>
        </a:ln>
      </xdr:spPr>
    </xdr:sp>
    <xdr:clientData/>
  </xdr:twoCellAnchor>
  <xdr:twoCellAnchor>
    <xdr:from xmlns:xdr="http://schemas.openxmlformats.org/drawingml/2006/spreadsheetDrawing">
      <xdr:col>3</xdr:col>
      <xdr:colOff>47625</xdr:colOff>
      <xdr:row>3</xdr:row>
      <xdr:rowOff>143510</xdr:rowOff>
    </xdr:from>
    <xdr:to xmlns:xdr="http://schemas.openxmlformats.org/drawingml/2006/spreadsheetDrawing">
      <xdr:col>4</xdr:col>
      <xdr:colOff>666750</xdr:colOff>
      <xdr:row>9</xdr:row>
      <xdr:rowOff>47625</xdr:rowOff>
    </xdr:to>
    <xdr:sp macro="" textlink="">
      <xdr:nvSpPr>
        <xdr:cNvPr id="27" name="Text Box 35"/>
        <xdr:cNvSpPr txBox="1">
          <a:spLocks noChangeArrowheads="1"/>
        </xdr:cNvSpPr>
      </xdr:nvSpPr>
      <xdr:spPr>
        <a:xfrm>
          <a:off x="2105025" y="667385"/>
          <a:ext cx="1304925" cy="932815"/>
        </a:xfrm>
        <a:prstGeom prst="rect">
          <a:avLst/>
        </a:prstGeom>
        <a:noFill/>
        <a:ln>
          <a:noFill/>
        </a:ln>
        <a:effectLst/>
      </xdr:spPr>
      <xdr:txBody>
        <a:bodyPr vertOverflow="clip" horzOverflow="overflow" wrap="square" lIns="74295" tIns="8890" rIns="74295" bIns="8890" anchor="t" upright="1"/>
        <a:lstStyle/>
        <a:p>
          <a:pPr algn="l" rtl="0">
            <a:defRPr sz="1000"/>
          </a:pPr>
          <a:r>
            <a:rPr lang="ja-JP" altLang="en-US" sz="1000" b="1" i="0" u="none" strike="noStrike" baseline="0">
              <a:solidFill>
                <a:srgbClr val="000000"/>
              </a:solidFill>
              <a:latin typeface="ＭＳ ゴシック"/>
              <a:ea typeface="ＭＳ ゴシック"/>
            </a:rPr>
            <a:t>社長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7</xdr:col>
      <xdr:colOff>561975</xdr:colOff>
      <xdr:row>11</xdr:row>
      <xdr:rowOff>104775</xdr:rowOff>
    </xdr:from>
    <xdr:to xmlns:xdr="http://schemas.openxmlformats.org/drawingml/2006/spreadsheetDrawing">
      <xdr:col>8</xdr:col>
      <xdr:colOff>257175</xdr:colOff>
      <xdr:row>16</xdr:row>
      <xdr:rowOff>133350</xdr:rowOff>
    </xdr:to>
    <xdr:sp macro="" textlink="">
      <xdr:nvSpPr>
        <xdr:cNvPr id="28" name="Text Box 33"/>
        <xdr:cNvSpPr txBox="1">
          <a:spLocks noChangeArrowheads="1"/>
        </xdr:cNvSpPr>
      </xdr:nvSpPr>
      <xdr:spPr>
        <a:xfrm>
          <a:off x="5362575" y="2000250"/>
          <a:ext cx="381000" cy="88582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lnSpc>
              <a:spcPts val="1200"/>
            </a:lnSpc>
            <a:defRPr sz="1000"/>
          </a:pPr>
          <a:r>
            <a:rPr lang="ja-JP" altLang="en-US" sz="1050" b="1" i="0" u="none" strike="noStrike" baseline="0">
              <a:solidFill>
                <a:srgbClr val="000000"/>
              </a:solidFill>
              <a:latin typeface="ＭＳ ゴシック"/>
              <a:ea typeface="ＭＳ ゴシック"/>
            </a:rPr>
            <a:t>初動の連絡</a:t>
          </a:r>
        </a:p>
      </xdr:txBody>
    </xdr:sp>
    <xdr:clientData/>
  </xdr:twoCellAnchor>
  <xdr:twoCellAnchor>
    <xdr:from xmlns:xdr="http://schemas.openxmlformats.org/drawingml/2006/spreadsheetDrawing">
      <xdr:col>7</xdr:col>
      <xdr:colOff>514350</xdr:colOff>
      <xdr:row>10</xdr:row>
      <xdr:rowOff>76200</xdr:rowOff>
    </xdr:from>
    <xdr:to xmlns:xdr="http://schemas.openxmlformats.org/drawingml/2006/spreadsheetDrawing">
      <xdr:col>7</xdr:col>
      <xdr:colOff>514350</xdr:colOff>
      <xdr:row>19</xdr:row>
      <xdr:rowOff>161925</xdr:rowOff>
    </xdr:to>
    <xdr:sp macro="" textlink="">
      <xdr:nvSpPr>
        <xdr:cNvPr id="29" name="Line 23"/>
        <xdr:cNvSpPr>
          <a:spLocks noChangeShapeType="1"/>
        </xdr:cNvSpPr>
      </xdr:nvSpPr>
      <xdr:spPr>
        <a:xfrm flipV="1">
          <a:off x="5314950" y="1800225"/>
          <a:ext cx="0" cy="1628775"/>
        </a:xfrm>
        <a:prstGeom prst="line">
          <a:avLst/>
        </a:prstGeom>
        <a:noFill/>
        <a:ln w="19050">
          <a:solidFill>
            <a:srgbClr val="000000"/>
          </a:solidFill>
          <a:prstDash val="sysDot"/>
          <a:round/>
          <a:headEnd/>
          <a:tailEnd/>
        </a:ln>
      </xdr:spPr>
    </xdr:sp>
    <xdr:clientData/>
  </xdr:twoCellAnchor>
  <xdr:twoCellAnchor>
    <xdr:from xmlns:xdr="http://schemas.openxmlformats.org/drawingml/2006/spreadsheetDrawing">
      <xdr:col>5</xdr:col>
      <xdr:colOff>57150</xdr:colOff>
      <xdr:row>10</xdr:row>
      <xdr:rowOff>66675</xdr:rowOff>
    </xdr:from>
    <xdr:to xmlns:xdr="http://schemas.openxmlformats.org/drawingml/2006/spreadsheetDrawing">
      <xdr:col>7</xdr:col>
      <xdr:colOff>514350</xdr:colOff>
      <xdr:row>13</xdr:row>
      <xdr:rowOff>86360</xdr:rowOff>
    </xdr:to>
    <xdr:sp macro="" textlink="">
      <xdr:nvSpPr>
        <xdr:cNvPr id="30" name="Line 28"/>
        <xdr:cNvSpPr>
          <a:spLocks noChangeShapeType="1"/>
        </xdr:cNvSpPr>
      </xdr:nvSpPr>
      <xdr:spPr>
        <a:xfrm flipH="1">
          <a:off x="3486150" y="1790700"/>
          <a:ext cx="1828800" cy="534035"/>
        </a:xfrm>
        <a:prstGeom prst="line">
          <a:avLst/>
        </a:prstGeom>
        <a:noFill/>
        <a:ln w="19050">
          <a:solidFill>
            <a:srgbClr val="000000"/>
          </a:solidFill>
          <a:prstDash val="sysDot"/>
          <a:round/>
          <a:headEnd/>
          <a:tailEnd type="triangle" w="med" len="med"/>
        </a:ln>
      </xdr:spPr>
    </xdr:sp>
    <xdr:clientData/>
  </xdr:twoCellAnchor>
  <xdr:twoCellAnchor>
    <xdr:from xmlns:xdr="http://schemas.openxmlformats.org/drawingml/2006/spreadsheetDrawing">
      <xdr:col>0</xdr:col>
      <xdr:colOff>0</xdr:colOff>
      <xdr:row>46</xdr:row>
      <xdr:rowOff>66675</xdr:rowOff>
    </xdr:from>
    <xdr:to xmlns:xdr="http://schemas.openxmlformats.org/drawingml/2006/spreadsheetDrawing">
      <xdr:col>7</xdr:col>
      <xdr:colOff>657225</xdr:colOff>
      <xdr:row>50</xdr:row>
      <xdr:rowOff>76200</xdr:rowOff>
    </xdr:to>
    <xdr:sp macro="" textlink="">
      <xdr:nvSpPr>
        <xdr:cNvPr id="31" name="Text Box 1"/>
        <xdr:cNvSpPr txBox="1">
          <a:spLocks noChangeArrowheads="1"/>
        </xdr:cNvSpPr>
      </xdr:nvSpPr>
      <xdr:spPr>
        <a:xfrm>
          <a:off x="0" y="7962900"/>
          <a:ext cx="5457825" cy="695325"/>
        </a:xfrm>
        <a:prstGeom prst="rect">
          <a:avLst/>
        </a:prstGeom>
        <a:solidFill>
          <a:srgbClr val="FFFFFF"/>
        </a:solidFill>
        <a:ln w="9525">
          <a:solidFill>
            <a:srgbClr val="000000"/>
          </a:solidFill>
          <a:miter lim="800000"/>
          <a:headEnd/>
          <a:tailEnd/>
        </a:ln>
        <a:effectLst/>
      </xdr:spPr>
      <xdr:txBody>
        <a:bodyPr vertOverflow="clip" horzOverflow="overflow" wrap="square" lIns="74295" tIns="8890" rIns="74295" bIns="8890" anchor="t" upright="1"/>
        <a:lstStyle/>
        <a:p>
          <a:pPr algn="l" rtl="0">
            <a:lnSpc>
              <a:spcPts val="1100"/>
            </a:lnSpc>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班の業務</a:t>
          </a: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１．上記の班別は、あくまでも一例であり、以上のほかに復旧対策班、財務班などを設けるなど、企業ごとに合理的な班別編成を検討する。</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２．班ごとの業務を決め、それぞれ明記する。</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３．本部長、事務局長、班長等は、集まれない場合に備え、それぞれ第</a:t>
          </a:r>
          <a:r>
            <a:rPr lang="en-US" altLang="ja-JP" sz="900" b="0" i="0" u="none" strike="noStrike" baseline="0">
              <a:solidFill>
                <a:srgbClr val="000000"/>
              </a:solidFill>
              <a:latin typeface="ＭＳ ゴシック"/>
              <a:ea typeface="ＭＳ ゴシック"/>
            </a:rPr>
            <a:t>3</a:t>
          </a:r>
          <a:r>
            <a:rPr lang="ja-JP" altLang="en-US" sz="900" b="0" i="0" u="none" strike="noStrike" baseline="0">
              <a:solidFill>
                <a:srgbClr val="000000"/>
              </a:solidFill>
              <a:latin typeface="ＭＳ ゴシック"/>
              <a:ea typeface="ＭＳ ゴシック"/>
            </a:rPr>
            <a:t>順位まで決めておく。</a:t>
          </a:r>
        </a:p>
      </xdr:txBody>
    </xdr:sp>
    <xdr:clientData/>
  </xdr:twoCellAnchor>
  <xdr:twoCellAnchor>
    <xdr:from xmlns:xdr="http://schemas.openxmlformats.org/drawingml/2006/spreadsheetDrawing">
      <xdr:col>1</xdr:col>
      <xdr:colOff>9525</xdr:colOff>
      <xdr:row>24</xdr:row>
      <xdr:rowOff>0</xdr:rowOff>
    </xdr:from>
    <xdr:to xmlns:xdr="http://schemas.openxmlformats.org/drawingml/2006/spreadsheetDrawing">
      <xdr:col>6</xdr:col>
      <xdr:colOff>561975</xdr:colOff>
      <xdr:row>24</xdr:row>
      <xdr:rowOff>0</xdr:rowOff>
    </xdr:to>
    <xdr:sp macro="" textlink="">
      <xdr:nvSpPr>
        <xdr:cNvPr id="32" name="Line 4"/>
        <xdr:cNvSpPr>
          <a:spLocks noChangeShapeType="1"/>
        </xdr:cNvSpPr>
      </xdr:nvSpPr>
      <xdr:spPr>
        <a:xfrm flipV="1">
          <a:off x="695325" y="4124325"/>
          <a:ext cx="3981450" cy="0"/>
        </a:xfrm>
        <a:prstGeom prst="line">
          <a:avLst/>
        </a:prstGeom>
        <a:noFill/>
        <a:ln w="19050">
          <a:solidFill>
            <a:srgbClr val="000000"/>
          </a:solidFill>
          <a:round/>
          <a:headEnd/>
          <a:tailEnd/>
        </a:ln>
      </xdr:spPr>
    </xdr:sp>
    <xdr:clientData/>
  </xdr:twoCellAnchor>
  <xdr:twoCellAnchor>
    <xdr:from xmlns:xdr="http://schemas.openxmlformats.org/drawingml/2006/spreadsheetDrawing">
      <xdr:col>3</xdr:col>
      <xdr:colOff>628650</xdr:colOff>
      <xdr:row>10</xdr:row>
      <xdr:rowOff>0</xdr:rowOff>
    </xdr:from>
    <xdr:to xmlns:xdr="http://schemas.openxmlformats.org/drawingml/2006/spreadsheetDrawing">
      <xdr:col>3</xdr:col>
      <xdr:colOff>638175</xdr:colOff>
      <xdr:row>11</xdr:row>
      <xdr:rowOff>76200</xdr:rowOff>
    </xdr:to>
    <xdr:sp macro="" textlink="">
      <xdr:nvSpPr>
        <xdr:cNvPr id="33" name="Line 34"/>
        <xdr:cNvSpPr>
          <a:spLocks noChangeShapeType="1"/>
        </xdr:cNvSpPr>
      </xdr:nvSpPr>
      <xdr:spPr>
        <a:xfrm flipV="1">
          <a:off x="2686050" y="1724025"/>
          <a:ext cx="9525" cy="247650"/>
        </a:xfrm>
        <a:prstGeom prst="line">
          <a:avLst/>
        </a:prstGeom>
        <a:noFill/>
        <a:ln w="19050">
          <a:solidFill>
            <a:srgbClr val="000000"/>
          </a:solidFill>
          <a:round/>
          <a:headEnd type="triangle" w="med" len="med"/>
          <a:tailEnd type="triangle" w="med" len="med"/>
        </a:ln>
      </xdr:spPr>
    </xdr:sp>
    <xdr:clientData/>
  </xdr:twoCellAnchor>
  <xdr:twoCellAnchor>
    <xdr:from xmlns:xdr="http://schemas.openxmlformats.org/drawingml/2006/spreadsheetDrawing">
      <xdr:col>3</xdr:col>
      <xdr:colOff>638175</xdr:colOff>
      <xdr:row>21</xdr:row>
      <xdr:rowOff>114300</xdr:rowOff>
    </xdr:from>
    <xdr:to xmlns:xdr="http://schemas.openxmlformats.org/drawingml/2006/spreadsheetDrawing">
      <xdr:col>5</xdr:col>
      <xdr:colOff>142875</xdr:colOff>
      <xdr:row>21</xdr:row>
      <xdr:rowOff>114300</xdr:rowOff>
    </xdr:to>
    <xdr:sp macro="" textlink="">
      <xdr:nvSpPr>
        <xdr:cNvPr id="34" name="Line 24"/>
        <xdr:cNvSpPr>
          <a:spLocks noChangeShapeType="1"/>
        </xdr:cNvSpPr>
      </xdr:nvSpPr>
      <xdr:spPr>
        <a:xfrm flipV="1">
          <a:off x="2695575" y="3724275"/>
          <a:ext cx="876300" cy="0"/>
        </a:xfrm>
        <a:prstGeom prst="line">
          <a:avLst/>
        </a:prstGeom>
        <a:noFill/>
        <a:ln w="19050">
          <a:solidFill>
            <a:srgbClr val="000000"/>
          </a:solidFill>
          <a:round/>
          <a:headEnd/>
          <a:tailEnd/>
        </a:ln>
      </xdr:spPr>
    </xdr:sp>
    <xdr:clientData/>
  </xdr:twoCellAnchor>
  <xdr:twoCellAnchor>
    <xdr:from xmlns:xdr="http://schemas.openxmlformats.org/drawingml/2006/spreadsheetDrawing">
      <xdr:col>3</xdr:col>
      <xdr:colOff>638175</xdr:colOff>
      <xdr:row>18</xdr:row>
      <xdr:rowOff>29210</xdr:rowOff>
    </xdr:from>
    <xdr:to xmlns:xdr="http://schemas.openxmlformats.org/drawingml/2006/spreadsheetDrawing">
      <xdr:col>3</xdr:col>
      <xdr:colOff>638175</xdr:colOff>
      <xdr:row>24</xdr:row>
      <xdr:rowOff>29210</xdr:rowOff>
    </xdr:to>
    <xdr:sp macro="" textlink="">
      <xdr:nvSpPr>
        <xdr:cNvPr id="35" name="Line 32"/>
        <xdr:cNvSpPr>
          <a:spLocks noChangeShapeType="1"/>
        </xdr:cNvSpPr>
      </xdr:nvSpPr>
      <xdr:spPr>
        <a:xfrm flipV="1">
          <a:off x="2695575" y="3124835"/>
          <a:ext cx="0" cy="102870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2</xdr:col>
      <xdr:colOff>581025</xdr:colOff>
      <xdr:row>24</xdr:row>
      <xdr:rowOff>0</xdr:rowOff>
    </xdr:from>
    <xdr:to xmlns:xdr="http://schemas.openxmlformats.org/drawingml/2006/spreadsheetDrawing">
      <xdr:col>2</xdr:col>
      <xdr:colOff>581025</xdr:colOff>
      <xdr:row>26</xdr:row>
      <xdr:rowOff>114300</xdr:rowOff>
    </xdr:to>
    <xdr:sp macro="" textlink="">
      <xdr:nvSpPr>
        <xdr:cNvPr id="36" name="Line 3"/>
        <xdr:cNvSpPr>
          <a:spLocks noChangeShapeType="1"/>
        </xdr:cNvSpPr>
      </xdr:nvSpPr>
      <xdr:spPr>
        <a:xfrm>
          <a:off x="1952625" y="4124325"/>
          <a:ext cx="0" cy="457200"/>
        </a:xfrm>
        <a:prstGeom prst="line">
          <a:avLst/>
        </a:prstGeom>
        <a:noFill/>
        <a:ln w="19050">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80645</xdr:colOff>
      <xdr:row>6</xdr:row>
      <xdr:rowOff>160020</xdr:rowOff>
    </xdr:from>
    <xdr:to xmlns:xdr="http://schemas.openxmlformats.org/drawingml/2006/spreadsheetDrawing">
      <xdr:col>8</xdr:col>
      <xdr:colOff>502920</xdr:colOff>
      <xdr:row>30</xdr:row>
      <xdr:rowOff>116840</xdr:rowOff>
    </xdr:to>
    <xdr:pic macro="">
      <xdr:nvPicPr>
        <xdr:cNvPr id="9" name="図 8"/>
        <xdr:cNvPicPr>
          <a:picLocks noChangeAspect="1"/>
        </xdr:cNvPicPr>
      </xdr:nvPicPr>
      <xdr:blipFill>
        <a:blip xmlns:r="http://schemas.openxmlformats.org/officeDocument/2006/relationships" r:embed="rId1"/>
        <a:stretch>
          <a:fillRect/>
        </a:stretch>
      </xdr:blipFill>
      <xdr:spPr>
        <a:xfrm>
          <a:off x="80645" y="1322070"/>
          <a:ext cx="6042025" cy="4071620"/>
        </a:xfrm>
        <a:prstGeom prst="rect">
          <a:avLst/>
        </a:prstGeom>
      </xdr:spPr>
    </xdr:pic>
    <xdr:clientData/>
  </xdr:twoCellAnchor>
</xdr:wsDr>
</file>

<file path=xl/theme/theme1.xml><?xml version="1.0" encoding="utf-8"?>
<a:theme xmlns:a="http://schemas.openxmlformats.org/drawingml/2006/main" name="Office テーマ">
  <a:themeElements>
    <a:clrScheme name="ASCO">
      <a:dk1>
        <a:srgbClr val="000000"/>
      </a:dk1>
      <a:lt1>
        <a:srgbClr val="FFFFFF"/>
      </a:lt1>
      <a:dk2>
        <a:srgbClr val="000000"/>
      </a:dk2>
      <a:lt2>
        <a:srgbClr val="808080"/>
      </a:lt2>
      <a:accent1>
        <a:srgbClr val="D93563"/>
      </a:accent1>
      <a:accent2>
        <a:srgbClr val="EFC3BD"/>
      </a:accent2>
      <a:accent3>
        <a:srgbClr val="E5E5E5"/>
      </a:accent3>
      <a:accent4>
        <a:srgbClr val="0099CC"/>
      </a:accent4>
      <a:accent5>
        <a:srgbClr val="D7EEFA"/>
      </a:accent5>
      <a:accent6>
        <a:srgbClr val="E4E164"/>
      </a:accent6>
      <a:hlink>
        <a:srgbClr val="009999"/>
      </a:hlink>
      <a:folHlink>
        <a:srgbClr val="99CC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hyperlink" Target="https://www.pref.shizuoka.jp/bosaikinkyu/sonae/earthquake/nankaitorafu/1035406.html" TargetMode="External" /><Relationship Id="rId2" Type="http://schemas.openxmlformats.org/officeDocument/2006/relationships/hyperlink" Target="https://www.bousai.go.jp/jishin/nankai/taio_wg/pdf/h300806shiryo02.pdf" TargetMode="External" /><Relationship Id="rId3"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hyperlink" Target="http://www.pref.shizuoka.jp/bousai/toukei/passport2/index.html" TargetMode="External" /><Relationship Id="rId2" Type="http://schemas.openxmlformats.org/officeDocument/2006/relationships/printerSettings" Target="../printerSettings/printerSettings14.bin" /><Relationship Id="rId3"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G14"/>
  <sheetViews>
    <sheetView tabSelected="1" view="pageBreakPreview" zoomScale="145" zoomScaleNormal="142" zoomScaleSheetLayoutView="145" workbookViewId="0">
      <selection activeCell="G8" sqref="G8"/>
    </sheetView>
  </sheetViews>
  <sheetFormatPr defaultRowHeight="13.5"/>
  <cols>
    <col min="1" max="1" width="10.5" customWidth="1"/>
    <col min="7" max="7" width="21.625" customWidth="1"/>
  </cols>
  <sheetData>
    <row r="1" spans="1:7" ht="33" customHeight="1">
      <c r="A1" s="1" t="s">
        <v>176</v>
      </c>
      <c r="B1" s="4" t="s">
        <v>58</v>
      </c>
      <c r="C1" s="4"/>
      <c r="D1" s="4"/>
      <c r="E1" s="4"/>
      <c r="F1" s="4"/>
      <c r="G1" s="10" t="s">
        <v>36</v>
      </c>
    </row>
    <row r="2" spans="1:7" ht="20.25" customHeight="1">
      <c r="A2" s="2" t="s">
        <v>177</v>
      </c>
      <c r="B2" s="5" t="s">
        <v>81</v>
      </c>
      <c r="C2" s="8"/>
      <c r="D2" s="8"/>
      <c r="E2" s="8"/>
      <c r="F2" s="9"/>
      <c r="G2" s="6" t="s">
        <v>87</v>
      </c>
    </row>
    <row r="3" spans="1:7" ht="20.25" customHeight="1">
      <c r="A3" s="3" t="s">
        <v>70</v>
      </c>
      <c r="B3" s="6" t="s">
        <v>80</v>
      </c>
      <c r="C3" s="6"/>
      <c r="D3" s="6"/>
      <c r="E3" s="6"/>
      <c r="F3" s="6"/>
      <c r="G3" s="6" t="s">
        <v>14</v>
      </c>
    </row>
    <row r="4" spans="1:7" ht="20.25" customHeight="1">
      <c r="A4" s="3" t="s">
        <v>126</v>
      </c>
      <c r="B4" s="7" t="s">
        <v>48</v>
      </c>
      <c r="C4" s="7"/>
      <c r="D4" s="7"/>
      <c r="E4" s="7"/>
      <c r="F4" s="7"/>
      <c r="G4" s="6" t="s">
        <v>60</v>
      </c>
    </row>
    <row r="5" spans="1:7" ht="20.25" customHeight="1">
      <c r="A5" s="3" t="s">
        <v>92</v>
      </c>
      <c r="B5" s="7" t="s">
        <v>179</v>
      </c>
      <c r="C5" s="7"/>
      <c r="D5" s="7"/>
      <c r="E5" s="7"/>
      <c r="F5" s="7"/>
      <c r="G5" s="6" t="s">
        <v>6</v>
      </c>
    </row>
    <row r="6" spans="1:7" ht="20.25" customHeight="1">
      <c r="A6" s="3" t="s">
        <v>181</v>
      </c>
      <c r="B6" s="7" t="s">
        <v>183</v>
      </c>
      <c r="C6" s="7"/>
      <c r="D6" s="7"/>
      <c r="E6" s="7"/>
      <c r="F6" s="7"/>
      <c r="G6" s="6" t="s">
        <v>39</v>
      </c>
    </row>
    <row r="7" spans="1:7" ht="20.25" customHeight="1">
      <c r="A7" s="3" t="s">
        <v>184</v>
      </c>
      <c r="B7" s="7" t="s">
        <v>185</v>
      </c>
      <c r="C7" s="7"/>
      <c r="D7" s="7"/>
      <c r="E7" s="7"/>
      <c r="F7" s="7"/>
      <c r="G7" s="6" t="s">
        <v>94</v>
      </c>
    </row>
    <row r="8" spans="1:7" ht="20.25" customHeight="1">
      <c r="A8" s="3" t="s">
        <v>62</v>
      </c>
      <c r="B8" s="7" t="s">
        <v>186</v>
      </c>
      <c r="C8" s="7"/>
      <c r="D8" s="7"/>
      <c r="E8" s="7"/>
      <c r="F8" s="7"/>
      <c r="G8" s="6" t="s">
        <v>75</v>
      </c>
    </row>
    <row r="9" spans="1:7" ht="20.25" customHeight="1">
      <c r="A9" s="3" t="s">
        <v>187</v>
      </c>
      <c r="B9" s="7" t="s">
        <v>53</v>
      </c>
      <c r="C9" s="7"/>
      <c r="D9" s="7"/>
      <c r="E9" s="7"/>
      <c r="F9" s="7"/>
      <c r="G9" s="6" t="s">
        <v>5</v>
      </c>
    </row>
    <row r="10" spans="1:7" ht="20.25" customHeight="1">
      <c r="A10" s="3" t="s">
        <v>190</v>
      </c>
      <c r="B10" s="7" t="s">
        <v>191</v>
      </c>
      <c r="C10" s="7"/>
      <c r="D10" s="7"/>
      <c r="E10" s="7"/>
      <c r="F10" s="7"/>
      <c r="G10" s="6" t="s">
        <v>193</v>
      </c>
    </row>
    <row r="11" spans="1:7" ht="20.25" customHeight="1">
      <c r="A11" s="3" t="s">
        <v>194</v>
      </c>
      <c r="B11" s="5" t="s">
        <v>195</v>
      </c>
      <c r="C11" s="8"/>
      <c r="D11" s="8"/>
      <c r="E11" s="8"/>
      <c r="F11" s="9"/>
      <c r="G11" s="6" t="s">
        <v>45</v>
      </c>
    </row>
    <row r="12" spans="1:7" ht="20.25" customHeight="1">
      <c r="A12" s="3" t="s">
        <v>24</v>
      </c>
      <c r="B12" s="5" t="s">
        <v>25</v>
      </c>
      <c r="C12" s="8"/>
      <c r="D12" s="8"/>
      <c r="E12" s="8"/>
      <c r="F12" s="9"/>
      <c r="G12" s="6" t="s">
        <v>22</v>
      </c>
    </row>
    <row r="13" spans="1:7" ht="20.25" customHeight="1">
      <c r="A13" s="3" t="s">
        <v>196</v>
      </c>
      <c r="B13" s="5" t="s">
        <v>83</v>
      </c>
      <c r="C13" s="8"/>
      <c r="D13" s="8"/>
      <c r="E13" s="8"/>
      <c r="F13" s="9"/>
      <c r="G13" s="6" t="s">
        <v>44</v>
      </c>
    </row>
    <row r="14" spans="1:7" ht="20.25" customHeight="1">
      <c r="A14" s="3" t="s">
        <v>197</v>
      </c>
      <c r="B14" s="6" t="s">
        <v>9</v>
      </c>
      <c r="C14" s="6"/>
      <c r="D14" s="6"/>
      <c r="E14" s="6"/>
      <c r="F14" s="6"/>
      <c r="G14" s="6" t="s">
        <v>102</v>
      </c>
    </row>
  </sheetData>
  <mergeCells count="14">
    <mergeCell ref="B1:F1"/>
    <mergeCell ref="B2:F2"/>
    <mergeCell ref="B3:F3"/>
    <mergeCell ref="B4:F4"/>
    <mergeCell ref="B5:F5"/>
    <mergeCell ref="B6:F6"/>
    <mergeCell ref="B7:F7"/>
    <mergeCell ref="B8:F8"/>
    <mergeCell ref="B9:F9"/>
    <mergeCell ref="B10:F10"/>
    <mergeCell ref="B11:F11"/>
    <mergeCell ref="B12:F12"/>
    <mergeCell ref="B13:F13"/>
    <mergeCell ref="B14:F14"/>
  </mergeCells>
  <phoneticPr fontId="1"/>
  <pageMargins left="0.7" right="0.7" top="0.75" bottom="0.75" header="0.3" footer="0.3"/>
  <pageSetup paperSize="9" fitToWidth="1" fitToHeight="1" orientation="landscape" usePrinterDefaults="1"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11"/>
  <sheetViews>
    <sheetView view="pageBreakPreview" zoomScale="60" workbookViewId="0">
      <selection activeCell="A46" sqref="A46"/>
    </sheetView>
  </sheetViews>
  <sheetFormatPr defaultRowHeight="13.5"/>
  <cols>
    <col min="1" max="1" width="4.625" customWidth="1"/>
    <col min="4" max="4" width="11.375" customWidth="1"/>
    <col min="9" max="9" width="19.25" customWidth="1"/>
    <col min="257" max="257" width="4.625" customWidth="1"/>
    <col min="260" max="260" width="11.375" customWidth="1"/>
    <col min="265" max="265" width="19.25" customWidth="1"/>
    <col min="513" max="513" width="4.625" customWidth="1"/>
    <col min="516" max="516" width="11.375" customWidth="1"/>
    <col min="521" max="521" width="19.25" customWidth="1"/>
    <col min="769" max="769" width="4.625" customWidth="1"/>
    <col min="772" max="772" width="11.375" customWidth="1"/>
    <col min="777" max="777" width="19.25" customWidth="1"/>
    <col min="1025" max="1025" width="4.625" customWidth="1"/>
    <col min="1028" max="1028" width="11.375" customWidth="1"/>
    <col min="1033" max="1033" width="19.25" customWidth="1"/>
    <col min="1281" max="1281" width="4.625" customWidth="1"/>
    <col min="1284" max="1284" width="11.375" customWidth="1"/>
    <col min="1289" max="1289" width="19.25" customWidth="1"/>
    <col min="1537" max="1537" width="4.625" customWidth="1"/>
    <col min="1540" max="1540" width="11.375" customWidth="1"/>
    <col min="1545" max="1545" width="19.25" customWidth="1"/>
    <col min="1793" max="1793" width="4.625" customWidth="1"/>
    <col min="1796" max="1796" width="11.375" customWidth="1"/>
    <col min="1801" max="1801" width="19.25" customWidth="1"/>
    <col min="2049" max="2049" width="4.625" customWidth="1"/>
    <col min="2052" max="2052" width="11.375" customWidth="1"/>
    <col min="2057" max="2057" width="19.25" customWidth="1"/>
    <col min="2305" max="2305" width="4.625" customWidth="1"/>
    <col min="2308" max="2308" width="11.375" customWidth="1"/>
    <col min="2313" max="2313" width="19.25" customWidth="1"/>
    <col min="2561" max="2561" width="4.625" customWidth="1"/>
    <col min="2564" max="2564" width="11.375" customWidth="1"/>
    <col min="2569" max="2569" width="19.25" customWidth="1"/>
    <col min="2817" max="2817" width="4.625" customWidth="1"/>
    <col min="2820" max="2820" width="11.375" customWidth="1"/>
    <col min="2825" max="2825" width="19.25" customWidth="1"/>
    <col min="3073" max="3073" width="4.625" customWidth="1"/>
    <col min="3076" max="3076" width="11.375" customWidth="1"/>
    <col min="3081" max="3081" width="19.25" customWidth="1"/>
    <col min="3329" max="3329" width="4.625" customWidth="1"/>
    <col min="3332" max="3332" width="11.375" customWidth="1"/>
    <col min="3337" max="3337" width="19.25" customWidth="1"/>
    <col min="3585" max="3585" width="4.625" customWidth="1"/>
    <col min="3588" max="3588" width="11.375" customWidth="1"/>
    <col min="3593" max="3593" width="19.25" customWidth="1"/>
    <col min="3841" max="3841" width="4.625" customWidth="1"/>
    <col min="3844" max="3844" width="11.375" customWidth="1"/>
    <col min="3849" max="3849" width="19.25" customWidth="1"/>
    <col min="4097" max="4097" width="4.625" customWidth="1"/>
    <col min="4100" max="4100" width="11.375" customWidth="1"/>
    <col min="4105" max="4105" width="19.25" customWidth="1"/>
    <col min="4353" max="4353" width="4.625" customWidth="1"/>
    <col min="4356" max="4356" width="11.375" customWidth="1"/>
    <col min="4361" max="4361" width="19.25" customWidth="1"/>
    <col min="4609" max="4609" width="4.625" customWidth="1"/>
    <col min="4612" max="4612" width="11.375" customWidth="1"/>
    <col min="4617" max="4617" width="19.25" customWidth="1"/>
    <col min="4865" max="4865" width="4.625" customWidth="1"/>
    <col min="4868" max="4868" width="11.375" customWidth="1"/>
    <col min="4873" max="4873" width="19.25" customWidth="1"/>
    <col min="5121" max="5121" width="4.625" customWidth="1"/>
    <col min="5124" max="5124" width="11.375" customWidth="1"/>
    <col min="5129" max="5129" width="19.25" customWidth="1"/>
    <col min="5377" max="5377" width="4.625" customWidth="1"/>
    <col min="5380" max="5380" width="11.375" customWidth="1"/>
    <col min="5385" max="5385" width="19.25" customWidth="1"/>
    <col min="5633" max="5633" width="4.625" customWidth="1"/>
    <col min="5636" max="5636" width="11.375" customWidth="1"/>
    <col min="5641" max="5641" width="19.25" customWidth="1"/>
    <col min="5889" max="5889" width="4.625" customWidth="1"/>
    <col min="5892" max="5892" width="11.375" customWidth="1"/>
    <col min="5897" max="5897" width="19.25" customWidth="1"/>
    <col min="6145" max="6145" width="4.625" customWidth="1"/>
    <col min="6148" max="6148" width="11.375" customWidth="1"/>
    <col min="6153" max="6153" width="19.25" customWidth="1"/>
    <col min="6401" max="6401" width="4.625" customWidth="1"/>
    <col min="6404" max="6404" width="11.375" customWidth="1"/>
    <col min="6409" max="6409" width="19.25" customWidth="1"/>
    <col min="6657" max="6657" width="4.625" customWidth="1"/>
    <col min="6660" max="6660" width="11.375" customWidth="1"/>
    <col min="6665" max="6665" width="19.25" customWidth="1"/>
    <col min="6913" max="6913" width="4.625" customWidth="1"/>
    <col min="6916" max="6916" width="11.375" customWidth="1"/>
    <col min="6921" max="6921" width="19.25" customWidth="1"/>
    <col min="7169" max="7169" width="4.625" customWidth="1"/>
    <col min="7172" max="7172" width="11.375" customWidth="1"/>
    <col min="7177" max="7177" width="19.25" customWidth="1"/>
    <col min="7425" max="7425" width="4.625" customWidth="1"/>
    <col min="7428" max="7428" width="11.375" customWidth="1"/>
    <col min="7433" max="7433" width="19.25" customWidth="1"/>
    <col min="7681" max="7681" width="4.625" customWidth="1"/>
    <col min="7684" max="7684" width="11.375" customWidth="1"/>
    <col min="7689" max="7689" width="19.25" customWidth="1"/>
    <col min="7937" max="7937" width="4.625" customWidth="1"/>
    <col min="7940" max="7940" width="11.375" customWidth="1"/>
    <col min="7945" max="7945" width="19.25" customWidth="1"/>
    <col min="8193" max="8193" width="4.625" customWidth="1"/>
    <col min="8196" max="8196" width="11.375" customWidth="1"/>
    <col min="8201" max="8201" width="19.25" customWidth="1"/>
    <col min="8449" max="8449" width="4.625" customWidth="1"/>
    <col min="8452" max="8452" width="11.375" customWidth="1"/>
    <col min="8457" max="8457" width="19.25" customWidth="1"/>
    <col min="8705" max="8705" width="4.625" customWidth="1"/>
    <col min="8708" max="8708" width="11.375" customWidth="1"/>
    <col min="8713" max="8713" width="19.25" customWidth="1"/>
    <col min="8961" max="8961" width="4.625" customWidth="1"/>
    <col min="8964" max="8964" width="11.375" customWidth="1"/>
    <col min="8969" max="8969" width="19.25" customWidth="1"/>
    <col min="9217" max="9217" width="4.625" customWidth="1"/>
    <col min="9220" max="9220" width="11.375" customWidth="1"/>
    <col min="9225" max="9225" width="19.25" customWidth="1"/>
    <col min="9473" max="9473" width="4.625" customWidth="1"/>
    <col min="9476" max="9476" width="11.375" customWidth="1"/>
    <col min="9481" max="9481" width="19.25" customWidth="1"/>
    <col min="9729" max="9729" width="4.625" customWidth="1"/>
    <col min="9732" max="9732" width="11.375" customWidth="1"/>
    <col min="9737" max="9737" width="19.25" customWidth="1"/>
    <col min="9985" max="9985" width="4.625" customWidth="1"/>
    <col min="9988" max="9988" width="11.375" customWidth="1"/>
    <col min="9993" max="9993" width="19.25" customWidth="1"/>
    <col min="10241" max="10241" width="4.625" customWidth="1"/>
    <col min="10244" max="10244" width="11.375" customWidth="1"/>
    <col min="10249" max="10249" width="19.25" customWidth="1"/>
    <col min="10497" max="10497" width="4.625" customWidth="1"/>
    <col min="10500" max="10500" width="11.375" customWidth="1"/>
    <col min="10505" max="10505" width="19.25" customWidth="1"/>
    <col min="10753" max="10753" width="4.625" customWidth="1"/>
    <col min="10756" max="10756" width="11.375" customWidth="1"/>
    <col min="10761" max="10761" width="19.25" customWidth="1"/>
    <col min="11009" max="11009" width="4.625" customWidth="1"/>
    <col min="11012" max="11012" width="11.375" customWidth="1"/>
    <col min="11017" max="11017" width="19.25" customWidth="1"/>
    <col min="11265" max="11265" width="4.625" customWidth="1"/>
    <col min="11268" max="11268" width="11.375" customWidth="1"/>
    <col min="11273" max="11273" width="19.25" customWidth="1"/>
    <col min="11521" max="11521" width="4.625" customWidth="1"/>
    <col min="11524" max="11524" width="11.375" customWidth="1"/>
    <col min="11529" max="11529" width="19.25" customWidth="1"/>
    <col min="11777" max="11777" width="4.625" customWidth="1"/>
    <col min="11780" max="11780" width="11.375" customWidth="1"/>
    <col min="11785" max="11785" width="19.25" customWidth="1"/>
    <col min="12033" max="12033" width="4.625" customWidth="1"/>
    <col min="12036" max="12036" width="11.375" customWidth="1"/>
    <col min="12041" max="12041" width="19.25" customWidth="1"/>
    <col min="12289" max="12289" width="4.625" customWidth="1"/>
    <col min="12292" max="12292" width="11.375" customWidth="1"/>
    <col min="12297" max="12297" width="19.25" customWidth="1"/>
    <col min="12545" max="12545" width="4.625" customWidth="1"/>
    <col min="12548" max="12548" width="11.375" customWidth="1"/>
    <col min="12553" max="12553" width="19.25" customWidth="1"/>
    <col min="12801" max="12801" width="4.625" customWidth="1"/>
    <col min="12804" max="12804" width="11.375" customWidth="1"/>
    <col min="12809" max="12809" width="19.25" customWidth="1"/>
    <col min="13057" max="13057" width="4.625" customWidth="1"/>
    <col min="13060" max="13060" width="11.375" customWidth="1"/>
    <col min="13065" max="13065" width="19.25" customWidth="1"/>
    <col min="13313" max="13313" width="4.625" customWidth="1"/>
    <col min="13316" max="13316" width="11.375" customWidth="1"/>
    <col min="13321" max="13321" width="19.25" customWidth="1"/>
    <col min="13569" max="13569" width="4.625" customWidth="1"/>
    <col min="13572" max="13572" width="11.375" customWidth="1"/>
    <col min="13577" max="13577" width="19.25" customWidth="1"/>
    <col min="13825" max="13825" width="4.625" customWidth="1"/>
    <col min="13828" max="13828" width="11.375" customWidth="1"/>
    <col min="13833" max="13833" width="19.25" customWidth="1"/>
    <col min="14081" max="14081" width="4.625" customWidth="1"/>
    <col min="14084" max="14084" width="11.375" customWidth="1"/>
    <col min="14089" max="14089" width="19.25" customWidth="1"/>
    <col min="14337" max="14337" width="4.625" customWidth="1"/>
    <col min="14340" max="14340" width="11.375" customWidth="1"/>
    <col min="14345" max="14345" width="19.25" customWidth="1"/>
    <col min="14593" max="14593" width="4.625" customWidth="1"/>
    <col min="14596" max="14596" width="11.375" customWidth="1"/>
    <col min="14601" max="14601" width="19.25" customWidth="1"/>
    <col min="14849" max="14849" width="4.625" customWidth="1"/>
    <col min="14852" max="14852" width="11.375" customWidth="1"/>
    <col min="14857" max="14857" width="19.25" customWidth="1"/>
    <col min="15105" max="15105" width="4.625" customWidth="1"/>
    <col min="15108" max="15108" width="11.375" customWidth="1"/>
    <col min="15113" max="15113" width="19.25" customWidth="1"/>
    <col min="15361" max="15361" width="4.625" customWidth="1"/>
    <col min="15364" max="15364" width="11.375" customWidth="1"/>
    <col min="15369" max="15369" width="19.25" customWidth="1"/>
    <col min="15617" max="15617" width="4.625" customWidth="1"/>
    <col min="15620" max="15620" width="11.375" customWidth="1"/>
    <col min="15625" max="15625" width="19.25" customWidth="1"/>
    <col min="15873" max="15873" width="4.625" customWidth="1"/>
    <col min="15876" max="15876" width="11.375" customWidth="1"/>
    <col min="15881" max="15881" width="19.25" customWidth="1"/>
    <col min="16129" max="16129" width="4.625" customWidth="1"/>
    <col min="16132" max="16132" width="11.375" customWidth="1"/>
    <col min="16137" max="16137" width="19.25" customWidth="1"/>
  </cols>
  <sheetData>
    <row r="1" spans="1:9">
      <c r="A1" t="s">
        <v>100</v>
      </c>
      <c r="I1" t="s">
        <v>217</v>
      </c>
    </row>
    <row r="3" spans="1:9" ht="30" customHeight="1">
      <c r="A3" s="11" t="s">
        <v>218</v>
      </c>
      <c r="B3" s="11"/>
      <c r="C3" s="11"/>
      <c r="D3" s="11"/>
      <c r="E3" s="19"/>
      <c r="F3" s="19"/>
      <c r="G3" s="19"/>
      <c r="H3" s="19"/>
      <c r="I3" s="19"/>
    </row>
    <row r="4" spans="1:9" ht="63" customHeight="1">
      <c r="A4" s="134" t="s">
        <v>219</v>
      </c>
      <c r="B4" s="121" t="s">
        <v>220</v>
      </c>
      <c r="C4" s="121"/>
      <c r="D4" s="121"/>
      <c r="E4" s="27" t="s">
        <v>55</v>
      </c>
      <c r="F4" s="7"/>
      <c r="G4" s="7"/>
      <c r="H4" s="7"/>
      <c r="I4" s="7"/>
    </row>
    <row r="5" spans="1:9" ht="37.5" customHeight="1">
      <c r="A5" s="134"/>
      <c r="B5" s="121" t="s">
        <v>28</v>
      </c>
      <c r="C5" s="121"/>
      <c r="D5" s="121"/>
      <c r="E5" s="7" t="s">
        <v>35</v>
      </c>
      <c r="F5" s="7"/>
      <c r="G5" s="7"/>
      <c r="H5" s="7"/>
      <c r="I5" s="7"/>
    </row>
    <row r="6" spans="1:9" ht="37.5" customHeight="1">
      <c r="A6" s="134"/>
      <c r="B6" s="121" t="s">
        <v>101</v>
      </c>
      <c r="C6" s="121"/>
      <c r="D6" s="121"/>
      <c r="E6" s="19"/>
      <c r="F6" s="19"/>
      <c r="G6" s="19"/>
      <c r="H6" s="19"/>
      <c r="I6" s="19"/>
    </row>
    <row r="7" spans="1:9" ht="37.5" customHeight="1">
      <c r="A7" s="134"/>
      <c r="B7" s="121" t="s">
        <v>221</v>
      </c>
      <c r="C7" s="121"/>
      <c r="D7" s="121"/>
      <c r="E7" s="19"/>
      <c r="F7" s="19"/>
      <c r="G7" s="19"/>
      <c r="H7" s="19"/>
      <c r="I7" s="19"/>
    </row>
    <row r="8" spans="1:9" ht="37.5" customHeight="1">
      <c r="A8" s="134"/>
      <c r="B8" s="121" t="s">
        <v>222</v>
      </c>
      <c r="C8" s="121"/>
      <c r="D8" s="121"/>
      <c r="E8" s="7" t="s">
        <v>160</v>
      </c>
      <c r="F8" s="7"/>
      <c r="G8" s="7"/>
      <c r="H8" s="7"/>
      <c r="I8" s="7"/>
    </row>
    <row r="9" spans="1:9" ht="37.5" customHeight="1">
      <c r="A9" s="134"/>
      <c r="B9" s="121"/>
      <c r="C9" s="121"/>
      <c r="D9" s="121"/>
      <c r="E9" s="19"/>
      <c r="F9" s="19"/>
      <c r="G9" s="19"/>
      <c r="H9" s="19"/>
      <c r="I9" s="19"/>
    </row>
    <row r="10" spans="1:9">
      <c r="B10" s="124"/>
      <c r="C10" s="124"/>
      <c r="D10" s="124"/>
      <c r="E10" s="124"/>
      <c r="F10" s="124"/>
      <c r="G10" s="124"/>
      <c r="H10" s="124"/>
      <c r="I10" s="124"/>
    </row>
    <row r="11" spans="1:9" ht="88.5" customHeight="1">
      <c r="A11" s="135" t="s">
        <v>223</v>
      </c>
      <c r="B11" s="16"/>
      <c r="C11" s="16"/>
      <c r="D11" s="16"/>
      <c r="E11" s="16"/>
      <c r="F11" s="16"/>
      <c r="G11" s="16"/>
      <c r="H11" s="16"/>
      <c r="I11" s="16"/>
    </row>
  </sheetData>
  <mergeCells count="18">
    <mergeCell ref="A3:D3"/>
    <mergeCell ref="E3:I3"/>
    <mergeCell ref="B4:D4"/>
    <mergeCell ref="E4:I4"/>
    <mergeCell ref="B5:D5"/>
    <mergeCell ref="E5:I5"/>
    <mergeCell ref="B6:D6"/>
    <mergeCell ref="E6:I6"/>
    <mergeCell ref="B7:D7"/>
    <mergeCell ref="E7:I7"/>
    <mergeCell ref="B8:D8"/>
    <mergeCell ref="E8:I8"/>
    <mergeCell ref="B9:D9"/>
    <mergeCell ref="E9:I9"/>
    <mergeCell ref="B10:D10"/>
    <mergeCell ref="E10:I10"/>
    <mergeCell ref="A11:I11"/>
    <mergeCell ref="A4:A9"/>
  </mergeCells>
  <phoneticPr fontId="1"/>
  <pageMargins left="0.7" right="0.7" top="0.75" bottom="0.75" header="0.3" footer="0.3"/>
  <pageSetup paperSize="9"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D12"/>
  <sheetViews>
    <sheetView view="pageBreakPreview" zoomScale="60" workbookViewId="0">
      <selection activeCell="A46" sqref="A46"/>
    </sheetView>
  </sheetViews>
  <sheetFormatPr defaultRowHeight="13.5"/>
  <cols>
    <col min="1" max="1" width="17" customWidth="1"/>
    <col min="2" max="2" width="12" customWidth="1"/>
    <col min="3" max="3" width="21" customWidth="1"/>
    <col min="4" max="4" width="39.375" customWidth="1"/>
    <col min="257" max="257" width="17" customWidth="1"/>
    <col min="258" max="258" width="12" customWidth="1"/>
    <col min="259" max="259" width="21" customWidth="1"/>
    <col min="260" max="260" width="39.375" customWidth="1"/>
    <col min="513" max="513" width="17" customWidth="1"/>
    <col min="514" max="514" width="12" customWidth="1"/>
    <col min="515" max="515" width="21" customWidth="1"/>
    <col min="516" max="516" width="39.375" customWidth="1"/>
    <col min="769" max="769" width="17" customWidth="1"/>
    <col min="770" max="770" width="12" customWidth="1"/>
    <col min="771" max="771" width="21" customWidth="1"/>
    <col min="772" max="772" width="39.375" customWidth="1"/>
    <col min="1025" max="1025" width="17" customWidth="1"/>
    <col min="1026" max="1026" width="12" customWidth="1"/>
    <col min="1027" max="1027" width="21" customWidth="1"/>
    <col min="1028" max="1028" width="39.375" customWidth="1"/>
    <col min="1281" max="1281" width="17" customWidth="1"/>
    <col min="1282" max="1282" width="12" customWidth="1"/>
    <col min="1283" max="1283" width="21" customWidth="1"/>
    <col min="1284" max="1284" width="39.375" customWidth="1"/>
    <col min="1537" max="1537" width="17" customWidth="1"/>
    <col min="1538" max="1538" width="12" customWidth="1"/>
    <col min="1539" max="1539" width="21" customWidth="1"/>
    <col min="1540" max="1540" width="39.375" customWidth="1"/>
    <col min="1793" max="1793" width="17" customWidth="1"/>
    <col min="1794" max="1794" width="12" customWidth="1"/>
    <col min="1795" max="1795" width="21" customWidth="1"/>
    <col min="1796" max="1796" width="39.375" customWidth="1"/>
    <col min="2049" max="2049" width="17" customWidth="1"/>
    <col min="2050" max="2050" width="12" customWidth="1"/>
    <col min="2051" max="2051" width="21" customWidth="1"/>
    <col min="2052" max="2052" width="39.375" customWidth="1"/>
    <col min="2305" max="2305" width="17" customWidth="1"/>
    <col min="2306" max="2306" width="12" customWidth="1"/>
    <col min="2307" max="2307" width="21" customWidth="1"/>
    <col min="2308" max="2308" width="39.375" customWidth="1"/>
    <col min="2561" max="2561" width="17" customWidth="1"/>
    <col min="2562" max="2562" width="12" customWidth="1"/>
    <col min="2563" max="2563" width="21" customWidth="1"/>
    <col min="2564" max="2564" width="39.375" customWidth="1"/>
    <col min="2817" max="2817" width="17" customWidth="1"/>
    <col min="2818" max="2818" width="12" customWidth="1"/>
    <col min="2819" max="2819" width="21" customWidth="1"/>
    <col min="2820" max="2820" width="39.375" customWidth="1"/>
    <col min="3073" max="3073" width="17" customWidth="1"/>
    <col min="3074" max="3074" width="12" customWidth="1"/>
    <col min="3075" max="3075" width="21" customWidth="1"/>
    <col min="3076" max="3076" width="39.375" customWidth="1"/>
    <col min="3329" max="3329" width="17" customWidth="1"/>
    <col min="3330" max="3330" width="12" customWidth="1"/>
    <col min="3331" max="3331" width="21" customWidth="1"/>
    <col min="3332" max="3332" width="39.375" customWidth="1"/>
    <col min="3585" max="3585" width="17" customWidth="1"/>
    <col min="3586" max="3586" width="12" customWidth="1"/>
    <col min="3587" max="3587" width="21" customWidth="1"/>
    <col min="3588" max="3588" width="39.375" customWidth="1"/>
    <col min="3841" max="3841" width="17" customWidth="1"/>
    <col min="3842" max="3842" width="12" customWidth="1"/>
    <col min="3843" max="3843" width="21" customWidth="1"/>
    <col min="3844" max="3844" width="39.375" customWidth="1"/>
    <col min="4097" max="4097" width="17" customWidth="1"/>
    <col min="4098" max="4098" width="12" customWidth="1"/>
    <col min="4099" max="4099" width="21" customWidth="1"/>
    <col min="4100" max="4100" width="39.375" customWidth="1"/>
    <col min="4353" max="4353" width="17" customWidth="1"/>
    <col min="4354" max="4354" width="12" customWidth="1"/>
    <col min="4355" max="4355" width="21" customWidth="1"/>
    <col min="4356" max="4356" width="39.375" customWidth="1"/>
    <col min="4609" max="4609" width="17" customWidth="1"/>
    <col min="4610" max="4610" width="12" customWidth="1"/>
    <col min="4611" max="4611" width="21" customWidth="1"/>
    <col min="4612" max="4612" width="39.375" customWidth="1"/>
    <col min="4865" max="4865" width="17" customWidth="1"/>
    <col min="4866" max="4866" width="12" customWidth="1"/>
    <col min="4867" max="4867" width="21" customWidth="1"/>
    <col min="4868" max="4868" width="39.375" customWidth="1"/>
    <col min="5121" max="5121" width="17" customWidth="1"/>
    <col min="5122" max="5122" width="12" customWidth="1"/>
    <col min="5123" max="5123" width="21" customWidth="1"/>
    <col min="5124" max="5124" width="39.375" customWidth="1"/>
    <col min="5377" max="5377" width="17" customWidth="1"/>
    <col min="5378" max="5378" width="12" customWidth="1"/>
    <col min="5379" max="5379" width="21" customWidth="1"/>
    <col min="5380" max="5380" width="39.375" customWidth="1"/>
    <col min="5633" max="5633" width="17" customWidth="1"/>
    <col min="5634" max="5634" width="12" customWidth="1"/>
    <col min="5635" max="5635" width="21" customWidth="1"/>
    <col min="5636" max="5636" width="39.375" customWidth="1"/>
    <col min="5889" max="5889" width="17" customWidth="1"/>
    <col min="5890" max="5890" width="12" customWidth="1"/>
    <col min="5891" max="5891" width="21" customWidth="1"/>
    <col min="5892" max="5892" width="39.375" customWidth="1"/>
    <col min="6145" max="6145" width="17" customWidth="1"/>
    <col min="6146" max="6146" width="12" customWidth="1"/>
    <col min="6147" max="6147" width="21" customWidth="1"/>
    <col min="6148" max="6148" width="39.375" customWidth="1"/>
    <col min="6401" max="6401" width="17" customWidth="1"/>
    <col min="6402" max="6402" width="12" customWidth="1"/>
    <col min="6403" max="6403" width="21" customWidth="1"/>
    <col min="6404" max="6404" width="39.375" customWidth="1"/>
    <col min="6657" max="6657" width="17" customWidth="1"/>
    <col min="6658" max="6658" width="12" customWidth="1"/>
    <col min="6659" max="6659" width="21" customWidth="1"/>
    <col min="6660" max="6660" width="39.375" customWidth="1"/>
    <col min="6913" max="6913" width="17" customWidth="1"/>
    <col min="6914" max="6914" width="12" customWidth="1"/>
    <col min="6915" max="6915" width="21" customWidth="1"/>
    <col min="6916" max="6916" width="39.375" customWidth="1"/>
    <col min="7169" max="7169" width="17" customWidth="1"/>
    <col min="7170" max="7170" width="12" customWidth="1"/>
    <col min="7171" max="7171" width="21" customWidth="1"/>
    <col min="7172" max="7172" width="39.375" customWidth="1"/>
    <col min="7425" max="7425" width="17" customWidth="1"/>
    <col min="7426" max="7426" width="12" customWidth="1"/>
    <col min="7427" max="7427" width="21" customWidth="1"/>
    <col min="7428" max="7428" width="39.375" customWidth="1"/>
    <col min="7681" max="7681" width="17" customWidth="1"/>
    <col min="7682" max="7682" width="12" customWidth="1"/>
    <col min="7683" max="7683" width="21" customWidth="1"/>
    <col min="7684" max="7684" width="39.375" customWidth="1"/>
    <col min="7937" max="7937" width="17" customWidth="1"/>
    <col min="7938" max="7938" width="12" customWidth="1"/>
    <col min="7939" max="7939" width="21" customWidth="1"/>
    <col min="7940" max="7940" width="39.375" customWidth="1"/>
    <col min="8193" max="8193" width="17" customWidth="1"/>
    <col min="8194" max="8194" width="12" customWidth="1"/>
    <col min="8195" max="8195" width="21" customWidth="1"/>
    <col min="8196" max="8196" width="39.375" customWidth="1"/>
    <col min="8449" max="8449" width="17" customWidth="1"/>
    <col min="8450" max="8450" width="12" customWidth="1"/>
    <col min="8451" max="8451" width="21" customWidth="1"/>
    <col min="8452" max="8452" width="39.375" customWidth="1"/>
    <col min="8705" max="8705" width="17" customWidth="1"/>
    <col min="8706" max="8706" width="12" customWidth="1"/>
    <col min="8707" max="8707" width="21" customWidth="1"/>
    <col min="8708" max="8708" width="39.375" customWidth="1"/>
    <col min="8961" max="8961" width="17" customWidth="1"/>
    <col min="8962" max="8962" width="12" customWidth="1"/>
    <col min="8963" max="8963" width="21" customWidth="1"/>
    <col min="8964" max="8964" width="39.375" customWidth="1"/>
    <col min="9217" max="9217" width="17" customWidth="1"/>
    <col min="9218" max="9218" width="12" customWidth="1"/>
    <col min="9219" max="9219" width="21" customWidth="1"/>
    <col min="9220" max="9220" width="39.375" customWidth="1"/>
    <col min="9473" max="9473" width="17" customWidth="1"/>
    <col min="9474" max="9474" width="12" customWidth="1"/>
    <col min="9475" max="9475" width="21" customWidth="1"/>
    <col min="9476" max="9476" width="39.375" customWidth="1"/>
    <col min="9729" max="9729" width="17" customWidth="1"/>
    <col min="9730" max="9730" width="12" customWidth="1"/>
    <col min="9731" max="9731" width="21" customWidth="1"/>
    <col min="9732" max="9732" width="39.375" customWidth="1"/>
    <col min="9985" max="9985" width="17" customWidth="1"/>
    <col min="9986" max="9986" width="12" customWidth="1"/>
    <col min="9987" max="9987" width="21" customWidth="1"/>
    <col min="9988" max="9988" width="39.375" customWidth="1"/>
    <col min="10241" max="10241" width="17" customWidth="1"/>
    <col min="10242" max="10242" width="12" customWidth="1"/>
    <col min="10243" max="10243" width="21" customWidth="1"/>
    <col min="10244" max="10244" width="39.375" customWidth="1"/>
    <col min="10497" max="10497" width="17" customWidth="1"/>
    <col min="10498" max="10498" width="12" customWidth="1"/>
    <col min="10499" max="10499" width="21" customWidth="1"/>
    <col min="10500" max="10500" width="39.375" customWidth="1"/>
    <col min="10753" max="10753" width="17" customWidth="1"/>
    <col min="10754" max="10754" width="12" customWidth="1"/>
    <col min="10755" max="10755" width="21" customWidth="1"/>
    <col min="10756" max="10756" width="39.375" customWidth="1"/>
    <col min="11009" max="11009" width="17" customWidth="1"/>
    <col min="11010" max="11010" width="12" customWidth="1"/>
    <col min="11011" max="11011" width="21" customWidth="1"/>
    <col min="11012" max="11012" width="39.375" customWidth="1"/>
    <col min="11265" max="11265" width="17" customWidth="1"/>
    <col min="11266" max="11266" width="12" customWidth="1"/>
    <col min="11267" max="11267" width="21" customWidth="1"/>
    <col min="11268" max="11268" width="39.375" customWidth="1"/>
    <col min="11521" max="11521" width="17" customWidth="1"/>
    <col min="11522" max="11522" width="12" customWidth="1"/>
    <col min="11523" max="11523" width="21" customWidth="1"/>
    <col min="11524" max="11524" width="39.375" customWidth="1"/>
    <col min="11777" max="11777" width="17" customWidth="1"/>
    <col min="11778" max="11778" width="12" customWidth="1"/>
    <col min="11779" max="11779" width="21" customWidth="1"/>
    <col min="11780" max="11780" width="39.375" customWidth="1"/>
    <col min="12033" max="12033" width="17" customWidth="1"/>
    <col min="12034" max="12034" width="12" customWidth="1"/>
    <col min="12035" max="12035" width="21" customWidth="1"/>
    <col min="12036" max="12036" width="39.375" customWidth="1"/>
    <col min="12289" max="12289" width="17" customWidth="1"/>
    <col min="12290" max="12290" width="12" customWidth="1"/>
    <col min="12291" max="12291" width="21" customWidth="1"/>
    <col min="12292" max="12292" width="39.375" customWidth="1"/>
    <col min="12545" max="12545" width="17" customWidth="1"/>
    <col min="12546" max="12546" width="12" customWidth="1"/>
    <col min="12547" max="12547" width="21" customWidth="1"/>
    <col min="12548" max="12548" width="39.375" customWidth="1"/>
    <col min="12801" max="12801" width="17" customWidth="1"/>
    <col min="12802" max="12802" width="12" customWidth="1"/>
    <col min="12803" max="12803" width="21" customWidth="1"/>
    <col min="12804" max="12804" width="39.375" customWidth="1"/>
    <col min="13057" max="13057" width="17" customWidth="1"/>
    <col min="13058" max="13058" width="12" customWidth="1"/>
    <col min="13059" max="13059" width="21" customWidth="1"/>
    <col min="13060" max="13060" width="39.375" customWidth="1"/>
    <col min="13313" max="13313" width="17" customWidth="1"/>
    <col min="13314" max="13314" width="12" customWidth="1"/>
    <col min="13315" max="13315" width="21" customWidth="1"/>
    <col min="13316" max="13316" width="39.375" customWidth="1"/>
    <col min="13569" max="13569" width="17" customWidth="1"/>
    <col min="13570" max="13570" width="12" customWidth="1"/>
    <col min="13571" max="13571" width="21" customWidth="1"/>
    <col min="13572" max="13572" width="39.375" customWidth="1"/>
    <col min="13825" max="13825" width="17" customWidth="1"/>
    <col min="13826" max="13826" width="12" customWidth="1"/>
    <col min="13827" max="13827" width="21" customWidth="1"/>
    <col min="13828" max="13828" width="39.375" customWidth="1"/>
    <col min="14081" max="14081" width="17" customWidth="1"/>
    <col min="14082" max="14082" width="12" customWidth="1"/>
    <col min="14083" max="14083" width="21" customWidth="1"/>
    <col min="14084" max="14084" width="39.375" customWidth="1"/>
    <col min="14337" max="14337" width="17" customWidth="1"/>
    <col min="14338" max="14338" width="12" customWidth="1"/>
    <col min="14339" max="14339" width="21" customWidth="1"/>
    <col min="14340" max="14340" width="39.375" customWidth="1"/>
    <col min="14593" max="14593" width="17" customWidth="1"/>
    <col min="14594" max="14594" width="12" customWidth="1"/>
    <col min="14595" max="14595" width="21" customWidth="1"/>
    <col min="14596" max="14596" width="39.375" customWidth="1"/>
    <col min="14849" max="14849" width="17" customWidth="1"/>
    <col min="14850" max="14850" width="12" customWidth="1"/>
    <col min="14851" max="14851" width="21" customWidth="1"/>
    <col min="14852" max="14852" width="39.375" customWidth="1"/>
    <col min="15105" max="15105" width="17" customWidth="1"/>
    <col min="15106" max="15106" width="12" customWidth="1"/>
    <col min="15107" max="15107" width="21" customWidth="1"/>
    <col min="15108" max="15108" width="39.375" customWidth="1"/>
    <col min="15361" max="15361" width="17" customWidth="1"/>
    <col min="15362" max="15362" width="12" customWidth="1"/>
    <col min="15363" max="15363" width="21" customWidth="1"/>
    <col min="15364" max="15364" width="39.375" customWidth="1"/>
    <col min="15617" max="15617" width="17" customWidth="1"/>
    <col min="15618" max="15618" width="12" customWidth="1"/>
    <col min="15619" max="15619" width="21" customWidth="1"/>
    <col min="15620" max="15620" width="39.375" customWidth="1"/>
    <col min="15873" max="15873" width="17" customWidth="1"/>
    <col min="15874" max="15874" width="12" customWidth="1"/>
    <col min="15875" max="15875" width="21" customWidth="1"/>
    <col min="15876" max="15876" width="39.375" customWidth="1"/>
    <col min="16129" max="16129" width="17" customWidth="1"/>
    <col min="16130" max="16130" width="12" customWidth="1"/>
    <col min="16131" max="16131" width="21" customWidth="1"/>
    <col min="16132" max="16132" width="39.375" customWidth="1"/>
  </cols>
  <sheetData>
    <row r="1" spans="1:4">
      <c r="A1" t="s">
        <v>69</v>
      </c>
      <c r="D1" s="21" t="s">
        <v>216</v>
      </c>
    </row>
    <row r="3" spans="1:4" ht="27">
      <c r="A3" s="11" t="s">
        <v>130</v>
      </c>
      <c r="B3" s="12" t="s">
        <v>64</v>
      </c>
      <c r="C3" s="11" t="s">
        <v>131</v>
      </c>
      <c r="D3" s="11" t="s">
        <v>132</v>
      </c>
    </row>
    <row r="4" spans="1:4" ht="27">
      <c r="A4" s="121" t="s">
        <v>134</v>
      </c>
      <c r="B4" s="19" t="s">
        <v>41</v>
      </c>
      <c r="C4" s="92" t="s">
        <v>95</v>
      </c>
      <c r="D4" s="97" t="s">
        <v>135</v>
      </c>
    </row>
    <row r="5" spans="1:4" ht="33" customHeight="1">
      <c r="A5" s="121" t="s">
        <v>91</v>
      </c>
      <c r="B5" s="19"/>
      <c r="C5" s="97"/>
      <c r="D5" s="97"/>
    </row>
    <row r="6" spans="1:4" ht="33" customHeight="1">
      <c r="A6" s="121" t="s">
        <v>111</v>
      </c>
      <c r="B6" s="19"/>
      <c r="C6" s="97"/>
      <c r="D6" s="97"/>
    </row>
    <row r="7" spans="1:4" ht="33" customHeight="1">
      <c r="A7" s="121" t="s">
        <v>136</v>
      </c>
      <c r="B7" s="19"/>
      <c r="C7" s="97"/>
      <c r="D7" s="97"/>
    </row>
    <row r="8" spans="1:4" ht="33" customHeight="1">
      <c r="A8" s="121" t="s">
        <v>137</v>
      </c>
      <c r="B8" s="19"/>
      <c r="C8" s="97"/>
      <c r="D8" s="97"/>
    </row>
    <row r="9" spans="1:4" ht="33" customHeight="1">
      <c r="A9" s="121" t="s">
        <v>138</v>
      </c>
      <c r="B9" s="19"/>
      <c r="C9" s="97"/>
      <c r="D9" s="97"/>
    </row>
    <row r="10" spans="1:4" ht="24.75" customHeight="1"/>
    <row r="11" spans="1:4" ht="124.5" customHeight="1">
      <c r="A11" s="135" t="s">
        <v>37</v>
      </c>
      <c r="B11" s="16"/>
      <c r="C11" s="16"/>
      <c r="D11" s="16"/>
    </row>
    <row r="12" spans="1:4">
      <c r="A12" s="16"/>
    </row>
  </sheetData>
  <mergeCells count="1">
    <mergeCell ref="A11:D11"/>
  </mergeCells>
  <phoneticPr fontId="1"/>
  <pageMargins left="0.7" right="0.7" top="0.75" bottom="0.75" header="0.3" footer="0.3"/>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F16"/>
  <sheetViews>
    <sheetView view="pageBreakPreview" zoomScale="60" workbookViewId="0">
      <selection activeCell="A46" sqref="A46"/>
    </sheetView>
  </sheetViews>
  <sheetFormatPr defaultRowHeight="27.75" customHeight="1"/>
  <cols>
    <col min="2" max="2" width="19.25" customWidth="1"/>
    <col min="3" max="3" width="10.25" customWidth="1"/>
    <col min="4" max="4" width="13" customWidth="1"/>
    <col min="5" max="5" width="17.875" customWidth="1"/>
    <col min="6" max="6" width="28.125" customWidth="1"/>
    <col min="258" max="258" width="19.25" customWidth="1"/>
    <col min="259" max="259" width="10.25" customWidth="1"/>
    <col min="260" max="260" width="13" customWidth="1"/>
    <col min="261" max="261" width="17.875" customWidth="1"/>
    <col min="262" max="262" width="28.125" customWidth="1"/>
    <col min="514" max="514" width="19.25" customWidth="1"/>
    <col min="515" max="515" width="10.25" customWidth="1"/>
    <col min="516" max="516" width="13" customWidth="1"/>
    <col min="517" max="517" width="17.875" customWidth="1"/>
    <col min="518" max="518" width="28.125" customWidth="1"/>
    <col min="770" max="770" width="19.25" customWidth="1"/>
    <col min="771" max="771" width="10.25" customWidth="1"/>
    <col min="772" max="772" width="13" customWidth="1"/>
    <col min="773" max="773" width="17.875" customWidth="1"/>
    <col min="774" max="774" width="28.125" customWidth="1"/>
    <col min="1026" max="1026" width="19.25" customWidth="1"/>
    <col min="1027" max="1027" width="10.25" customWidth="1"/>
    <col min="1028" max="1028" width="13" customWidth="1"/>
    <col min="1029" max="1029" width="17.875" customWidth="1"/>
    <col min="1030" max="1030" width="28.125" customWidth="1"/>
    <col min="1282" max="1282" width="19.25" customWidth="1"/>
    <col min="1283" max="1283" width="10.25" customWidth="1"/>
    <col min="1284" max="1284" width="13" customWidth="1"/>
    <col min="1285" max="1285" width="17.875" customWidth="1"/>
    <col min="1286" max="1286" width="28.125" customWidth="1"/>
    <col min="1538" max="1538" width="19.25" customWidth="1"/>
    <col min="1539" max="1539" width="10.25" customWidth="1"/>
    <col min="1540" max="1540" width="13" customWidth="1"/>
    <col min="1541" max="1541" width="17.875" customWidth="1"/>
    <col min="1542" max="1542" width="28.125" customWidth="1"/>
    <col min="1794" max="1794" width="19.25" customWidth="1"/>
    <col min="1795" max="1795" width="10.25" customWidth="1"/>
    <col min="1796" max="1796" width="13" customWidth="1"/>
    <col min="1797" max="1797" width="17.875" customWidth="1"/>
    <col min="1798" max="1798" width="28.125" customWidth="1"/>
    <col min="2050" max="2050" width="19.25" customWidth="1"/>
    <col min="2051" max="2051" width="10.25" customWidth="1"/>
    <col min="2052" max="2052" width="13" customWidth="1"/>
    <col min="2053" max="2053" width="17.875" customWidth="1"/>
    <col min="2054" max="2054" width="28.125" customWidth="1"/>
    <col min="2306" max="2306" width="19.25" customWidth="1"/>
    <col min="2307" max="2307" width="10.25" customWidth="1"/>
    <col min="2308" max="2308" width="13" customWidth="1"/>
    <col min="2309" max="2309" width="17.875" customWidth="1"/>
    <col min="2310" max="2310" width="28.125" customWidth="1"/>
    <col min="2562" max="2562" width="19.25" customWidth="1"/>
    <col min="2563" max="2563" width="10.25" customWidth="1"/>
    <col min="2564" max="2564" width="13" customWidth="1"/>
    <col min="2565" max="2565" width="17.875" customWidth="1"/>
    <col min="2566" max="2566" width="28.125" customWidth="1"/>
    <col min="2818" max="2818" width="19.25" customWidth="1"/>
    <col min="2819" max="2819" width="10.25" customWidth="1"/>
    <col min="2820" max="2820" width="13" customWidth="1"/>
    <col min="2821" max="2821" width="17.875" customWidth="1"/>
    <col min="2822" max="2822" width="28.125" customWidth="1"/>
    <col min="3074" max="3074" width="19.25" customWidth="1"/>
    <col min="3075" max="3075" width="10.25" customWidth="1"/>
    <col min="3076" max="3076" width="13" customWidth="1"/>
    <col min="3077" max="3077" width="17.875" customWidth="1"/>
    <col min="3078" max="3078" width="28.125" customWidth="1"/>
    <col min="3330" max="3330" width="19.25" customWidth="1"/>
    <col min="3331" max="3331" width="10.25" customWidth="1"/>
    <col min="3332" max="3332" width="13" customWidth="1"/>
    <col min="3333" max="3333" width="17.875" customWidth="1"/>
    <col min="3334" max="3334" width="28.125" customWidth="1"/>
    <col min="3586" max="3586" width="19.25" customWidth="1"/>
    <col min="3587" max="3587" width="10.25" customWidth="1"/>
    <col min="3588" max="3588" width="13" customWidth="1"/>
    <col min="3589" max="3589" width="17.875" customWidth="1"/>
    <col min="3590" max="3590" width="28.125" customWidth="1"/>
    <col min="3842" max="3842" width="19.25" customWidth="1"/>
    <col min="3843" max="3843" width="10.25" customWidth="1"/>
    <col min="3844" max="3844" width="13" customWidth="1"/>
    <col min="3845" max="3845" width="17.875" customWidth="1"/>
    <col min="3846" max="3846" width="28.125" customWidth="1"/>
    <col min="4098" max="4098" width="19.25" customWidth="1"/>
    <col min="4099" max="4099" width="10.25" customWidth="1"/>
    <col min="4100" max="4100" width="13" customWidth="1"/>
    <col min="4101" max="4101" width="17.875" customWidth="1"/>
    <col min="4102" max="4102" width="28.125" customWidth="1"/>
    <col min="4354" max="4354" width="19.25" customWidth="1"/>
    <col min="4355" max="4355" width="10.25" customWidth="1"/>
    <col min="4356" max="4356" width="13" customWidth="1"/>
    <col min="4357" max="4357" width="17.875" customWidth="1"/>
    <col min="4358" max="4358" width="28.125" customWidth="1"/>
    <col min="4610" max="4610" width="19.25" customWidth="1"/>
    <col min="4611" max="4611" width="10.25" customWidth="1"/>
    <col min="4612" max="4612" width="13" customWidth="1"/>
    <col min="4613" max="4613" width="17.875" customWidth="1"/>
    <col min="4614" max="4614" width="28.125" customWidth="1"/>
    <col min="4866" max="4866" width="19.25" customWidth="1"/>
    <col min="4867" max="4867" width="10.25" customWidth="1"/>
    <col min="4868" max="4868" width="13" customWidth="1"/>
    <col min="4869" max="4869" width="17.875" customWidth="1"/>
    <col min="4870" max="4870" width="28.125" customWidth="1"/>
    <col min="5122" max="5122" width="19.25" customWidth="1"/>
    <col min="5123" max="5123" width="10.25" customWidth="1"/>
    <col min="5124" max="5124" width="13" customWidth="1"/>
    <col min="5125" max="5125" width="17.875" customWidth="1"/>
    <col min="5126" max="5126" width="28.125" customWidth="1"/>
    <col min="5378" max="5378" width="19.25" customWidth="1"/>
    <col min="5379" max="5379" width="10.25" customWidth="1"/>
    <col min="5380" max="5380" width="13" customWidth="1"/>
    <col min="5381" max="5381" width="17.875" customWidth="1"/>
    <col min="5382" max="5382" width="28.125" customWidth="1"/>
    <col min="5634" max="5634" width="19.25" customWidth="1"/>
    <col min="5635" max="5635" width="10.25" customWidth="1"/>
    <col min="5636" max="5636" width="13" customWidth="1"/>
    <col min="5637" max="5637" width="17.875" customWidth="1"/>
    <col min="5638" max="5638" width="28.125" customWidth="1"/>
    <col min="5890" max="5890" width="19.25" customWidth="1"/>
    <col min="5891" max="5891" width="10.25" customWidth="1"/>
    <col min="5892" max="5892" width="13" customWidth="1"/>
    <col min="5893" max="5893" width="17.875" customWidth="1"/>
    <col min="5894" max="5894" width="28.125" customWidth="1"/>
    <col min="6146" max="6146" width="19.25" customWidth="1"/>
    <col min="6147" max="6147" width="10.25" customWidth="1"/>
    <col min="6148" max="6148" width="13" customWidth="1"/>
    <col min="6149" max="6149" width="17.875" customWidth="1"/>
    <col min="6150" max="6150" width="28.125" customWidth="1"/>
    <col min="6402" max="6402" width="19.25" customWidth="1"/>
    <col min="6403" max="6403" width="10.25" customWidth="1"/>
    <col min="6404" max="6404" width="13" customWidth="1"/>
    <col min="6405" max="6405" width="17.875" customWidth="1"/>
    <col min="6406" max="6406" width="28.125" customWidth="1"/>
    <col min="6658" max="6658" width="19.25" customWidth="1"/>
    <col min="6659" max="6659" width="10.25" customWidth="1"/>
    <col min="6660" max="6660" width="13" customWidth="1"/>
    <col min="6661" max="6661" width="17.875" customWidth="1"/>
    <col min="6662" max="6662" width="28.125" customWidth="1"/>
    <col min="6914" max="6914" width="19.25" customWidth="1"/>
    <col min="6915" max="6915" width="10.25" customWidth="1"/>
    <col min="6916" max="6916" width="13" customWidth="1"/>
    <col min="6917" max="6917" width="17.875" customWidth="1"/>
    <col min="6918" max="6918" width="28.125" customWidth="1"/>
    <col min="7170" max="7170" width="19.25" customWidth="1"/>
    <col min="7171" max="7171" width="10.25" customWidth="1"/>
    <col min="7172" max="7172" width="13" customWidth="1"/>
    <col min="7173" max="7173" width="17.875" customWidth="1"/>
    <col min="7174" max="7174" width="28.125" customWidth="1"/>
    <col min="7426" max="7426" width="19.25" customWidth="1"/>
    <col min="7427" max="7427" width="10.25" customWidth="1"/>
    <col min="7428" max="7428" width="13" customWidth="1"/>
    <col min="7429" max="7429" width="17.875" customWidth="1"/>
    <col min="7430" max="7430" width="28.125" customWidth="1"/>
    <col min="7682" max="7682" width="19.25" customWidth="1"/>
    <col min="7683" max="7683" width="10.25" customWidth="1"/>
    <col min="7684" max="7684" width="13" customWidth="1"/>
    <col min="7685" max="7685" width="17.875" customWidth="1"/>
    <col min="7686" max="7686" width="28.125" customWidth="1"/>
    <col min="7938" max="7938" width="19.25" customWidth="1"/>
    <col min="7939" max="7939" width="10.25" customWidth="1"/>
    <col min="7940" max="7940" width="13" customWidth="1"/>
    <col min="7941" max="7941" width="17.875" customWidth="1"/>
    <col min="7942" max="7942" width="28.125" customWidth="1"/>
    <col min="8194" max="8194" width="19.25" customWidth="1"/>
    <col min="8195" max="8195" width="10.25" customWidth="1"/>
    <col min="8196" max="8196" width="13" customWidth="1"/>
    <col min="8197" max="8197" width="17.875" customWidth="1"/>
    <col min="8198" max="8198" width="28.125" customWidth="1"/>
    <col min="8450" max="8450" width="19.25" customWidth="1"/>
    <col min="8451" max="8451" width="10.25" customWidth="1"/>
    <col min="8452" max="8452" width="13" customWidth="1"/>
    <col min="8453" max="8453" width="17.875" customWidth="1"/>
    <col min="8454" max="8454" width="28.125" customWidth="1"/>
    <col min="8706" max="8706" width="19.25" customWidth="1"/>
    <col min="8707" max="8707" width="10.25" customWidth="1"/>
    <col min="8708" max="8708" width="13" customWidth="1"/>
    <col min="8709" max="8709" width="17.875" customWidth="1"/>
    <col min="8710" max="8710" width="28.125" customWidth="1"/>
    <col min="8962" max="8962" width="19.25" customWidth="1"/>
    <col min="8963" max="8963" width="10.25" customWidth="1"/>
    <col min="8964" max="8964" width="13" customWidth="1"/>
    <col min="8965" max="8965" width="17.875" customWidth="1"/>
    <col min="8966" max="8966" width="28.125" customWidth="1"/>
    <col min="9218" max="9218" width="19.25" customWidth="1"/>
    <col min="9219" max="9219" width="10.25" customWidth="1"/>
    <col min="9220" max="9220" width="13" customWidth="1"/>
    <col min="9221" max="9221" width="17.875" customWidth="1"/>
    <col min="9222" max="9222" width="28.125" customWidth="1"/>
    <col min="9474" max="9474" width="19.25" customWidth="1"/>
    <col min="9475" max="9475" width="10.25" customWidth="1"/>
    <col min="9476" max="9476" width="13" customWidth="1"/>
    <col min="9477" max="9477" width="17.875" customWidth="1"/>
    <col min="9478" max="9478" width="28.125" customWidth="1"/>
    <col min="9730" max="9730" width="19.25" customWidth="1"/>
    <col min="9731" max="9731" width="10.25" customWidth="1"/>
    <col min="9732" max="9732" width="13" customWidth="1"/>
    <col min="9733" max="9733" width="17.875" customWidth="1"/>
    <col min="9734" max="9734" width="28.125" customWidth="1"/>
    <col min="9986" max="9986" width="19.25" customWidth="1"/>
    <col min="9987" max="9987" width="10.25" customWidth="1"/>
    <col min="9988" max="9988" width="13" customWidth="1"/>
    <col min="9989" max="9989" width="17.875" customWidth="1"/>
    <col min="9990" max="9990" width="28.125" customWidth="1"/>
    <col min="10242" max="10242" width="19.25" customWidth="1"/>
    <col min="10243" max="10243" width="10.25" customWidth="1"/>
    <col min="10244" max="10244" width="13" customWidth="1"/>
    <col min="10245" max="10245" width="17.875" customWidth="1"/>
    <col min="10246" max="10246" width="28.125" customWidth="1"/>
    <col min="10498" max="10498" width="19.25" customWidth="1"/>
    <col min="10499" max="10499" width="10.25" customWidth="1"/>
    <col min="10500" max="10500" width="13" customWidth="1"/>
    <col min="10501" max="10501" width="17.875" customWidth="1"/>
    <col min="10502" max="10502" width="28.125" customWidth="1"/>
    <col min="10754" max="10754" width="19.25" customWidth="1"/>
    <col min="10755" max="10755" width="10.25" customWidth="1"/>
    <col min="10756" max="10756" width="13" customWidth="1"/>
    <col min="10757" max="10757" width="17.875" customWidth="1"/>
    <col min="10758" max="10758" width="28.125" customWidth="1"/>
    <col min="11010" max="11010" width="19.25" customWidth="1"/>
    <col min="11011" max="11011" width="10.25" customWidth="1"/>
    <col min="11012" max="11012" width="13" customWidth="1"/>
    <col min="11013" max="11013" width="17.875" customWidth="1"/>
    <col min="11014" max="11014" width="28.125" customWidth="1"/>
    <col min="11266" max="11266" width="19.25" customWidth="1"/>
    <col min="11267" max="11267" width="10.25" customWidth="1"/>
    <col min="11268" max="11268" width="13" customWidth="1"/>
    <col min="11269" max="11269" width="17.875" customWidth="1"/>
    <col min="11270" max="11270" width="28.125" customWidth="1"/>
    <col min="11522" max="11522" width="19.25" customWidth="1"/>
    <col min="11523" max="11523" width="10.25" customWidth="1"/>
    <col min="11524" max="11524" width="13" customWidth="1"/>
    <col min="11525" max="11525" width="17.875" customWidth="1"/>
    <col min="11526" max="11526" width="28.125" customWidth="1"/>
    <col min="11778" max="11778" width="19.25" customWidth="1"/>
    <col min="11779" max="11779" width="10.25" customWidth="1"/>
    <col min="11780" max="11780" width="13" customWidth="1"/>
    <col min="11781" max="11781" width="17.875" customWidth="1"/>
    <col min="11782" max="11782" width="28.125" customWidth="1"/>
    <col min="12034" max="12034" width="19.25" customWidth="1"/>
    <col min="12035" max="12035" width="10.25" customWidth="1"/>
    <col min="12036" max="12036" width="13" customWidth="1"/>
    <col min="12037" max="12037" width="17.875" customWidth="1"/>
    <col min="12038" max="12038" width="28.125" customWidth="1"/>
    <col min="12290" max="12290" width="19.25" customWidth="1"/>
    <col min="12291" max="12291" width="10.25" customWidth="1"/>
    <col min="12292" max="12292" width="13" customWidth="1"/>
    <col min="12293" max="12293" width="17.875" customWidth="1"/>
    <col min="12294" max="12294" width="28.125" customWidth="1"/>
    <col min="12546" max="12546" width="19.25" customWidth="1"/>
    <col min="12547" max="12547" width="10.25" customWidth="1"/>
    <col min="12548" max="12548" width="13" customWidth="1"/>
    <col min="12549" max="12549" width="17.875" customWidth="1"/>
    <col min="12550" max="12550" width="28.125" customWidth="1"/>
    <col min="12802" max="12802" width="19.25" customWidth="1"/>
    <col min="12803" max="12803" width="10.25" customWidth="1"/>
    <col min="12804" max="12804" width="13" customWidth="1"/>
    <col min="12805" max="12805" width="17.875" customWidth="1"/>
    <col min="12806" max="12806" width="28.125" customWidth="1"/>
    <col min="13058" max="13058" width="19.25" customWidth="1"/>
    <col min="13059" max="13059" width="10.25" customWidth="1"/>
    <col min="13060" max="13060" width="13" customWidth="1"/>
    <col min="13061" max="13061" width="17.875" customWidth="1"/>
    <col min="13062" max="13062" width="28.125" customWidth="1"/>
    <col min="13314" max="13314" width="19.25" customWidth="1"/>
    <col min="13315" max="13315" width="10.25" customWidth="1"/>
    <col min="13316" max="13316" width="13" customWidth="1"/>
    <col min="13317" max="13317" width="17.875" customWidth="1"/>
    <col min="13318" max="13318" width="28.125" customWidth="1"/>
    <col min="13570" max="13570" width="19.25" customWidth="1"/>
    <col min="13571" max="13571" width="10.25" customWidth="1"/>
    <col min="13572" max="13572" width="13" customWidth="1"/>
    <col min="13573" max="13573" width="17.875" customWidth="1"/>
    <col min="13574" max="13574" width="28.125" customWidth="1"/>
    <col min="13826" max="13826" width="19.25" customWidth="1"/>
    <col min="13827" max="13827" width="10.25" customWidth="1"/>
    <col min="13828" max="13828" width="13" customWidth="1"/>
    <col min="13829" max="13829" width="17.875" customWidth="1"/>
    <col min="13830" max="13830" width="28.125" customWidth="1"/>
    <col min="14082" max="14082" width="19.25" customWidth="1"/>
    <col min="14083" max="14083" width="10.25" customWidth="1"/>
    <col min="14084" max="14084" width="13" customWidth="1"/>
    <col min="14085" max="14085" width="17.875" customWidth="1"/>
    <col min="14086" max="14086" width="28.125" customWidth="1"/>
    <col min="14338" max="14338" width="19.25" customWidth="1"/>
    <col min="14339" max="14339" width="10.25" customWidth="1"/>
    <col min="14340" max="14340" width="13" customWidth="1"/>
    <col min="14341" max="14341" width="17.875" customWidth="1"/>
    <col min="14342" max="14342" width="28.125" customWidth="1"/>
    <col min="14594" max="14594" width="19.25" customWidth="1"/>
    <col min="14595" max="14595" width="10.25" customWidth="1"/>
    <col min="14596" max="14596" width="13" customWidth="1"/>
    <col min="14597" max="14597" width="17.875" customWidth="1"/>
    <col min="14598" max="14598" width="28.125" customWidth="1"/>
    <col min="14850" max="14850" width="19.25" customWidth="1"/>
    <col min="14851" max="14851" width="10.25" customWidth="1"/>
    <col min="14852" max="14852" width="13" customWidth="1"/>
    <col min="14853" max="14853" width="17.875" customWidth="1"/>
    <col min="14854" max="14854" width="28.125" customWidth="1"/>
    <col min="15106" max="15106" width="19.25" customWidth="1"/>
    <col min="15107" max="15107" width="10.25" customWidth="1"/>
    <col min="15108" max="15108" width="13" customWidth="1"/>
    <col min="15109" max="15109" width="17.875" customWidth="1"/>
    <col min="15110" max="15110" width="28.125" customWidth="1"/>
    <col min="15362" max="15362" width="19.25" customWidth="1"/>
    <col min="15363" max="15363" width="10.25" customWidth="1"/>
    <col min="15364" max="15364" width="13" customWidth="1"/>
    <col min="15365" max="15365" width="17.875" customWidth="1"/>
    <col min="15366" max="15366" width="28.125" customWidth="1"/>
    <col min="15618" max="15618" width="19.25" customWidth="1"/>
    <col min="15619" max="15619" width="10.25" customWidth="1"/>
    <col min="15620" max="15620" width="13" customWidth="1"/>
    <col min="15621" max="15621" width="17.875" customWidth="1"/>
    <col min="15622" max="15622" width="28.125" customWidth="1"/>
    <col min="15874" max="15874" width="19.25" customWidth="1"/>
    <col min="15875" max="15875" width="10.25" customWidth="1"/>
    <col min="15876" max="15876" width="13" customWidth="1"/>
    <col min="15877" max="15877" width="17.875" customWidth="1"/>
    <col min="15878" max="15878" width="28.125" customWidth="1"/>
    <col min="16130" max="16130" width="19.25" customWidth="1"/>
    <col min="16131" max="16131" width="10.25" customWidth="1"/>
    <col min="16132" max="16132" width="13" customWidth="1"/>
    <col min="16133" max="16133" width="17.875" customWidth="1"/>
    <col min="16134" max="16134" width="28.125" customWidth="1"/>
  </cols>
  <sheetData>
    <row r="1" spans="1:6" ht="27.75" customHeight="1">
      <c r="A1" t="s">
        <v>213</v>
      </c>
      <c r="F1" s="21" t="s">
        <v>155</v>
      </c>
    </row>
    <row r="2" spans="1:6" ht="27.75" customHeight="1"/>
    <row r="3" spans="1:6" ht="27.75" customHeight="1">
      <c r="A3" s="136" t="s">
        <v>214</v>
      </c>
      <c r="B3" s="139" t="s">
        <v>139</v>
      </c>
      <c r="C3" s="139" t="s">
        <v>61</v>
      </c>
      <c r="D3" s="139" t="s">
        <v>63</v>
      </c>
      <c r="E3" s="139" t="s">
        <v>59</v>
      </c>
      <c r="F3" s="141" t="s">
        <v>140</v>
      </c>
    </row>
    <row r="4" spans="1:6" ht="27.75" customHeight="1">
      <c r="A4" s="137"/>
      <c r="B4" s="97"/>
      <c r="C4" s="97"/>
      <c r="D4" s="97"/>
      <c r="E4" s="97"/>
      <c r="F4" s="142"/>
    </row>
    <row r="5" spans="1:6" ht="27.75" customHeight="1">
      <c r="A5" s="137"/>
      <c r="B5" s="97"/>
      <c r="C5" s="97"/>
      <c r="D5" s="97"/>
      <c r="E5" s="97"/>
      <c r="F5" s="142"/>
    </row>
    <row r="6" spans="1:6" ht="27.75" customHeight="1">
      <c r="A6" s="137"/>
      <c r="B6" s="97"/>
      <c r="C6" s="97"/>
      <c r="D6" s="97"/>
      <c r="E6" s="97"/>
      <c r="F6" s="142"/>
    </row>
    <row r="7" spans="1:6" ht="27.75" customHeight="1">
      <c r="A7" s="137"/>
      <c r="B7" s="97"/>
      <c r="C7" s="97"/>
      <c r="D7" s="97"/>
      <c r="E7" s="97"/>
      <c r="F7" s="142"/>
    </row>
    <row r="8" spans="1:6" ht="27.75" customHeight="1">
      <c r="A8" s="137"/>
      <c r="B8" s="97"/>
      <c r="C8" s="97"/>
      <c r="D8" s="97"/>
      <c r="E8" s="97"/>
      <c r="F8" s="142"/>
    </row>
    <row r="9" spans="1:6" ht="27.75" customHeight="1">
      <c r="A9" s="137"/>
      <c r="B9" s="97"/>
      <c r="C9" s="97"/>
      <c r="D9" s="97"/>
      <c r="E9" s="97"/>
      <c r="F9" s="142"/>
    </row>
    <row r="10" spans="1:6" ht="27.75" customHeight="1">
      <c r="A10" s="137"/>
      <c r="B10" s="97"/>
      <c r="C10" s="97"/>
      <c r="D10" s="97"/>
      <c r="E10" s="97"/>
      <c r="F10" s="142"/>
    </row>
    <row r="11" spans="1:6" ht="27.75" customHeight="1">
      <c r="A11" s="138"/>
      <c r="B11" s="140"/>
      <c r="C11" s="140"/>
      <c r="D11" s="140"/>
      <c r="E11" s="140"/>
      <c r="F11" s="143"/>
    </row>
    <row r="12" spans="1:6" ht="15.75" customHeight="1">
      <c r="B12" t="s">
        <v>19</v>
      </c>
    </row>
    <row r="13" spans="1:6" ht="15.75" customHeight="1">
      <c r="B13" t="s">
        <v>90</v>
      </c>
    </row>
    <row r="14" spans="1:6" ht="23.25" customHeight="1">
      <c r="B14" s="135" t="s">
        <v>215</v>
      </c>
      <c r="C14" s="135"/>
      <c r="D14" s="135"/>
      <c r="E14" s="135"/>
      <c r="F14" s="135"/>
    </row>
    <row r="15" spans="1:6" ht="23.25" customHeight="1">
      <c r="B15" s="135"/>
      <c r="C15" s="135"/>
      <c r="D15" s="135"/>
      <c r="E15" s="135"/>
      <c r="F15" s="135"/>
    </row>
    <row r="16" spans="1:6" ht="23.25" customHeight="1">
      <c r="B16" s="123" t="s">
        <v>141</v>
      </c>
    </row>
  </sheetData>
  <mergeCells count="1">
    <mergeCell ref="B14:F15"/>
  </mergeCells>
  <phoneticPr fontId="1"/>
  <pageMargins left="0.7" right="0.7" top="0.75" bottom="0.75" header="0.3" footer="0.3"/>
  <pageSetup paperSize="9" fitToWidth="1" fitToHeight="1" orientation="landscape" usePrinterDefaults="1" r:id="rId1"/>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C24"/>
  <sheetViews>
    <sheetView view="pageBreakPreview" zoomScale="60" workbookViewId="0">
      <selection activeCell="A46" sqref="A46"/>
    </sheetView>
  </sheetViews>
  <sheetFormatPr defaultRowHeight="13.5"/>
  <cols>
    <col min="1" max="1" width="19.375" customWidth="1"/>
    <col min="2" max="2" width="32.625" customWidth="1"/>
    <col min="3" max="3" width="33.125" customWidth="1"/>
    <col min="257" max="257" width="19.375" customWidth="1"/>
    <col min="258" max="258" width="32.625" customWidth="1"/>
    <col min="259" max="259" width="33.125" customWidth="1"/>
    <col min="513" max="513" width="19.375" customWidth="1"/>
    <col min="514" max="514" width="32.625" customWidth="1"/>
    <col min="515" max="515" width="33.125" customWidth="1"/>
    <col min="769" max="769" width="19.375" customWidth="1"/>
    <col min="770" max="770" width="32.625" customWidth="1"/>
    <col min="771" max="771" width="33.125" customWidth="1"/>
    <col min="1025" max="1025" width="19.375" customWidth="1"/>
    <col min="1026" max="1026" width="32.625" customWidth="1"/>
    <col min="1027" max="1027" width="33.125" customWidth="1"/>
    <col min="1281" max="1281" width="19.375" customWidth="1"/>
    <col min="1282" max="1282" width="32.625" customWidth="1"/>
    <col min="1283" max="1283" width="33.125" customWidth="1"/>
    <col min="1537" max="1537" width="19.375" customWidth="1"/>
    <col min="1538" max="1538" width="32.625" customWidth="1"/>
    <col min="1539" max="1539" width="33.125" customWidth="1"/>
    <col min="1793" max="1793" width="19.375" customWidth="1"/>
    <col min="1794" max="1794" width="32.625" customWidth="1"/>
    <col min="1795" max="1795" width="33.125" customWidth="1"/>
    <col min="2049" max="2049" width="19.375" customWidth="1"/>
    <col min="2050" max="2050" width="32.625" customWidth="1"/>
    <col min="2051" max="2051" width="33.125" customWidth="1"/>
    <col min="2305" max="2305" width="19.375" customWidth="1"/>
    <col min="2306" max="2306" width="32.625" customWidth="1"/>
    <col min="2307" max="2307" width="33.125" customWidth="1"/>
    <col min="2561" max="2561" width="19.375" customWidth="1"/>
    <col min="2562" max="2562" width="32.625" customWidth="1"/>
    <col min="2563" max="2563" width="33.125" customWidth="1"/>
    <col min="2817" max="2817" width="19.375" customWidth="1"/>
    <col min="2818" max="2818" width="32.625" customWidth="1"/>
    <col min="2819" max="2819" width="33.125" customWidth="1"/>
    <col min="3073" max="3073" width="19.375" customWidth="1"/>
    <col min="3074" max="3074" width="32.625" customWidth="1"/>
    <col min="3075" max="3075" width="33.125" customWidth="1"/>
    <col min="3329" max="3329" width="19.375" customWidth="1"/>
    <col min="3330" max="3330" width="32.625" customWidth="1"/>
    <col min="3331" max="3331" width="33.125" customWidth="1"/>
    <col min="3585" max="3585" width="19.375" customWidth="1"/>
    <col min="3586" max="3586" width="32.625" customWidth="1"/>
    <col min="3587" max="3587" width="33.125" customWidth="1"/>
    <col min="3841" max="3841" width="19.375" customWidth="1"/>
    <col min="3842" max="3842" width="32.625" customWidth="1"/>
    <col min="3843" max="3843" width="33.125" customWidth="1"/>
    <col min="4097" max="4097" width="19.375" customWidth="1"/>
    <col min="4098" max="4098" width="32.625" customWidth="1"/>
    <col min="4099" max="4099" width="33.125" customWidth="1"/>
    <col min="4353" max="4353" width="19.375" customWidth="1"/>
    <col min="4354" max="4354" width="32.625" customWidth="1"/>
    <col min="4355" max="4355" width="33.125" customWidth="1"/>
    <col min="4609" max="4609" width="19.375" customWidth="1"/>
    <col min="4610" max="4610" width="32.625" customWidth="1"/>
    <col min="4611" max="4611" width="33.125" customWidth="1"/>
    <col min="4865" max="4865" width="19.375" customWidth="1"/>
    <col min="4866" max="4866" width="32.625" customWidth="1"/>
    <col min="4867" max="4867" width="33.125" customWidth="1"/>
    <col min="5121" max="5121" width="19.375" customWidth="1"/>
    <col min="5122" max="5122" width="32.625" customWidth="1"/>
    <col min="5123" max="5123" width="33.125" customWidth="1"/>
    <col min="5377" max="5377" width="19.375" customWidth="1"/>
    <col min="5378" max="5378" width="32.625" customWidth="1"/>
    <col min="5379" max="5379" width="33.125" customWidth="1"/>
    <col min="5633" max="5633" width="19.375" customWidth="1"/>
    <col min="5634" max="5634" width="32.625" customWidth="1"/>
    <col min="5635" max="5635" width="33.125" customWidth="1"/>
    <col min="5889" max="5889" width="19.375" customWidth="1"/>
    <col min="5890" max="5890" width="32.625" customWidth="1"/>
    <col min="5891" max="5891" width="33.125" customWidth="1"/>
    <col min="6145" max="6145" width="19.375" customWidth="1"/>
    <col min="6146" max="6146" width="32.625" customWidth="1"/>
    <col min="6147" max="6147" width="33.125" customWidth="1"/>
    <col min="6401" max="6401" width="19.375" customWidth="1"/>
    <col min="6402" max="6402" width="32.625" customWidth="1"/>
    <col min="6403" max="6403" width="33.125" customWidth="1"/>
    <col min="6657" max="6657" width="19.375" customWidth="1"/>
    <col min="6658" max="6658" width="32.625" customWidth="1"/>
    <col min="6659" max="6659" width="33.125" customWidth="1"/>
    <col min="6913" max="6913" width="19.375" customWidth="1"/>
    <col min="6914" max="6914" width="32.625" customWidth="1"/>
    <col min="6915" max="6915" width="33.125" customWidth="1"/>
    <col min="7169" max="7169" width="19.375" customWidth="1"/>
    <col min="7170" max="7170" width="32.625" customWidth="1"/>
    <col min="7171" max="7171" width="33.125" customWidth="1"/>
    <col min="7425" max="7425" width="19.375" customWidth="1"/>
    <col min="7426" max="7426" width="32.625" customWidth="1"/>
    <col min="7427" max="7427" width="33.125" customWidth="1"/>
    <col min="7681" max="7681" width="19.375" customWidth="1"/>
    <col min="7682" max="7682" width="32.625" customWidth="1"/>
    <col min="7683" max="7683" width="33.125" customWidth="1"/>
    <col min="7937" max="7937" width="19.375" customWidth="1"/>
    <col min="7938" max="7938" width="32.625" customWidth="1"/>
    <col min="7939" max="7939" width="33.125" customWidth="1"/>
    <col min="8193" max="8193" width="19.375" customWidth="1"/>
    <col min="8194" max="8194" width="32.625" customWidth="1"/>
    <col min="8195" max="8195" width="33.125" customWidth="1"/>
    <col min="8449" max="8449" width="19.375" customWidth="1"/>
    <col min="8450" max="8450" width="32.625" customWidth="1"/>
    <col min="8451" max="8451" width="33.125" customWidth="1"/>
    <col min="8705" max="8705" width="19.375" customWidth="1"/>
    <col min="8706" max="8706" width="32.625" customWidth="1"/>
    <col min="8707" max="8707" width="33.125" customWidth="1"/>
    <col min="8961" max="8961" width="19.375" customWidth="1"/>
    <col min="8962" max="8962" width="32.625" customWidth="1"/>
    <col min="8963" max="8963" width="33.125" customWidth="1"/>
    <col min="9217" max="9217" width="19.375" customWidth="1"/>
    <col min="9218" max="9218" width="32.625" customWidth="1"/>
    <col min="9219" max="9219" width="33.125" customWidth="1"/>
    <col min="9473" max="9473" width="19.375" customWidth="1"/>
    <col min="9474" max="9474" width="32.625" customWidth="1"/>
    <col min="9475" max="9475" width="33.125" customWidth="1"/>
    <col min="9729" max="9729" width="19.375" customWidth="1"/>
    <col min="9730" max="9730" width="32.625" customWidth="1"/>
    <col min="9731" max="9731" width="33.125" customWidth="1"/>
    <col min="9985" max="9985" width="19.375" customWidth="1"/>
    <col min="9986" max="9986" width="32.625" customWidth="1"/>
    <col min="9987" max="9987" width="33.125" customWidth="1"/>
    <col min="10241" max="10241" width="19.375" customWidth="1"/>
    <col min="10242" max="10242" width="32.625" customWidth="1"/>
    <col min="10243" max="10243" width="33.125" customWidth="1"/>
    <col min="10497" max="10497" width="19.375" customWidth="1"/>
    <col min="10498" max="10498" width="32.625" customWidth="1"/>
    <col min="10499" max="10499" width="33.125" customWidth="1"/>
    <col min="10753" max="10753" width="19.375" customWidth="1"/>
    <col min="10754" max="10754" width="32.625" customWidth="1"/>
    <col min="10755" max="10755" width="33.125" customWidth="1"/>
    <col min="11009" max="11009" width="19.375" customWidth="1"/>
    <col min="11010" max="11010" width="32.625" customWidth="1"/>
    <col min="11011" max="11011" width="33.125" customWidth="1"/>
    <col min="11265" max="11265" width="19.375" customWidth="1"/>
    <col min="11266" max="11266" width="32.625" customWidth="1"/>
    <col min="11267" max="11267" width="33.125" customWidth="1"/>
    <col min="11521" max="11521" width="19.375" customWidth="1"/>
    <col min="11522" max="11522" width="32.625" customWidth="1"/>
    <col min="11523" max="11523" width="33.125" customWidth="1"/>
    <col min="11777" max="11777" width="19.375" customWidth="1"/>
    <col min="11778" max="11778" width="32.625" customWidth="1"/>
    <col min="11779" max="11779" width="33.125" customWidth="1"/>
    <col min="12033" max="12033" width="19.375" customWidth="1"/>
    <col min="12034" max="12034" width="32.625" customWidth="1"/>
    <col min="12035" max="12035" width="33.125" customWidth="1"/>
    <col min="12289" max="12289" width="19.375" customWidth="1"/>
    <col min="12290" max="12290" width="32.625" customWidth="1"/>
    <col min="12291" max="12291" width="33.125" customWidth="1"/>
    <col min="12545" max="12545" width="19.375" customWidth="1"/>
    <col min="12546" max="12546" width="32.625" customWidth="1"/>
    <col min="12547" max="12547" width="33.125" customWidth="1"/>
    <col min="12801" max="12801" width="19.375" customWidth="1"/>
    <col min="12802" max="12802" width="32.625" customWidth="1"/>
    <col min="12803" max="12803" width="33.125" customWidth="1"/>
    <col min="13057" max="13057" width="19.375" customWidth="1"/>
    <col min="13058" max="13058" width="32.625" customWidth="1"/>
    <col min="13059" max="13059" width="33.125" customWidth="1"/>
    <col min="13313" max="13313" width="19.375" customWidth="1"/>
    <col min="13314" max="13314" width="32.625" customWidth="1"/>
    <col min="13315" max="13315" width="33.125" customWidth="1"/>
    <col min="13569" max="13569" width="19.375" customWidth="1"/>
    <col min="13570" max="13570" width="32.625" customWidth="1"/>
    <col min="13571" max="13571" width="33.125" customWidth="1"/>
    <col min="13825" max="13825" width="19.375" customWidth="1"/>
    <col min="13826" max="13826" width="32.625" customWidth="1"/>
    <col min="13827" max="13827" width="33.125" customWidth="1"/>
    <col min="14081" max="14081" width="19.375" customWidth="1"/>
    <col min="14082" max="14082" width="32.625" customWidth="1"/>
    <col min="14083" max="14083" width="33.125" customWidth="1"/>
    <col min="14337" max="14337" width="19.375" customWidth="1"/>
    <col min="14338" max="14338" width="32.625" customWidth="1"/>
    <col min="14339" max="14339" width="33.125" customWidth="1"/>
    <col min="14593" max="14593" width="19.375" customWidth="1"/>
    <col min="14594" max="14594" width="32.625" customWidth="1"/>
    <col min="14595" max="14595" width="33.125" customWidth="1"/>
    <col min="14849" max="14849" width="19.375" customWidth="1"/>
    <col min="14850" max="14850" width="32.625" customWidth="1"/>
    <col min="14851" max="14851" width="33.125" customWidth="1"/>
    <col min="15105" max="15105" width="19.375" customWidth="1"/>
    <col min="15106" max="15106" width="32.625" customWidth="1"/>
    <col min="15107" max="15107" width="33.125" customWidth="1"/>
    <col min="15361" max="15361" width="19.375" customWidth="1"/>
    <col min="15362" max="15362" width="32.625" customWidth="1"/>
    <col min="15363" max="15363" width="33.125" customWidth="1"/>
    <col min="15617" max="15617" width="19.375" customWidth="1"/>
    <col min="15618" max="15618" width="32.625" customWidth="1"/>
    <col min="15619" max="15619" width="33.125" customWidth="1"/>
    <col min="15873" max="15873" width="19.375" customWidth="1"/>
    <col min="15874" max="15874" width="32.625" customWidth="1"/>
    <col min="15875" max="15875" width="33.125" customWidth="1"/>
    <col min="16129" max="16129" width="19.375" customWidth="1"/>
    <col min="16130" max="16130" width="32.625" customWidth="1"/>
    <col min="16131" max="16131" width="33.125" customWidth="1"/>
  </cols>
  <sheetData>
    <row r="1" spans="1:3">
      <c r="A1" t="s">
        <v>209</v>
      </c>
      <c r="C1" s="21" t="s">
        <v>93</v>
      </c>
    </row>
    <row r="3" spans="1:3" ht="33.75" customHeight="1">
      <c r="A3" s="144" t="s">
        <v>148</v>
      </c>
      <c r="B3" s="147"/>
      <c r="C3" s="148"/>
    </row>
    <row r="4" spans="1:3" ht="33.75" customHeight="1">
      <c r="A4" s="121" t="s">
        <v>106</v>
      </c>
      <c r="B4" s="19"/>
      <c r="C4" s="19"/>
    </row>
    <row r="5" spans="1:3" ht="33.75" customHeight="1">
      <c r="A5" s="121" t="s">
        <v>142</v>
      </c>
      <c r="B5" s="19"/>
      <c r="C5" s="19"/>
    </row>
    <row r="6" spans="1:3" ht="33.75" customHeight="1">
      <c r="A6" s="144" t="s">
        <v>149</v>
      </c>
      <c r="B6" s="147"/>
      <c r="C6" s="148"/>
    </row>
    <row r="7" spans="1:3" ht="33.75" customHeight="1">
      <c r="A7" s="121" t="s">
        <v>65</v>
      </c>
      <c r="B7" s="11" t="s">
        <v>144</v>
      </c>
      <c r="C7" s="11" t="s">
        <v>146</v>
      </c>
    </row>
    <row r="8" spans="1:3" ht="33.75" customHeight="1">
      <c r="A8" s="121" t="s">
        <v>168</v>
      </c>
      <c r="B8" s="97"/>
      <c r="C8" s="97"/>
    </row>
    <row r="9" spans="1:3" ht="33.75" customHeight="1">
      <c r="A9" s="121" t="s">
        <v>108</v>
      </c>
      <c r="B9" s="97"/>
      <c r="C9" s="97"/>
    </row>
    <row r="10" spans="1:3">
      <c r="A10" s="145" t="s">
        <v>85</v>
      </c>
      <c r="B10" s="97"/>
      <c r="C10" s="97"/>
    </row>
    <row r="11" spans="1:3" ht="24.75" customHeight="1"/>
    <row r="12" spans="1:3" ht="13.5" customHeight="1">
      <c r="A12" t="s">
        <v>210</v>
      </c>
    </row>
    <row r="13" spans="1:3" ht="13.5" customHeight="1">
      <c r="A13" s="146" t="s">
        <v>211</v>
      </c>
    </row>
    <row r="14" spans="1:3" ht="13.5" customHeight="1">
      <c r="A14" t="s">
        <v>212</v>
      </c>
    </row>
    <row r="15" spans="1:3" ht="13.5" customHeight="1">
      <c r="A15" s="65" t="s">
        <v>188</v>
      </c>
    </row>
    <row r="16" spans="1:3">
      <c r="A16" t="s">
        <v>147</v>
      </c>
    </row>
    <row r="17" spans="1:3">
      <c r="A17" t="s">
        <v>71</v>
      </c>
    </row>
    <row r="18" spans="1:3" ht="30.75" customHeight="1">
      <c r="A18" s="129" t="s">
        <v>169</v>
      </c>
      <c r="B18" s="129"/>
      <c r="C18" s="129"/>
    </row>
    <row r="19" spans="1:3">
      <c r="A19" t="s">
        <v>68</v>
      </c>
    </row>
    <row r="20" spans="1:3">
      <c r="A20" t="s">
        <v>79</v>
      </c>
    </row>
    <row r="21" spans="1:3">
      <c r="A21" t="s">
        <v>170</v>
      </c>
    </row>
    <row r="22" spans="1:3">
      <c r="A22" t="s">
        <v>73</v>
      </c>
    </row>
    <row r="24" spans="1:3">
      <c r="A24" s="96" t="s">
        <v>10</v>
      </c>
    </row>
  </sheetData>
  <mergeCells count="5">
    <mergeCell ref="A3:C3"/>
    <mergeCell ref="B4:C4"/>
    <mergeCell ref="B5:C5"/>
    <mergeCell ref="A6:C6"/>
    <mergeCell ref="A18:C18"/>
  </mergeCells>
  <phoneticPr fontId="1"/>
  <hyperlinks>
    <hyperlink ref="A13" r:id="rId1"/>
    <hyperlink ref="A15" r:id="rId2"/>
  </hyperlinks>
  <pageMargins left="0.7" right="0.7" top="0.75" bottom="0.75" header="0.3" footer="0.3"/>
  <pageSetup paperSize="9" fitToWidth="1" fitToHeight="1" orientation="landscape" usePrinterDefaults="1" r:id="rId3"/>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39"/>
  <sheetViews>
    <sheetView view="pageBreakPreview" zoomScale="60" workbookViewId="0">
      <selection activeCell="A46" sqref="A46"/>
    </sheetView>
  </sheetViews>
  <sheetFormatPr defaultRowHeight="13.5"/>
  <cols>
    <col min="7" max="8" width="9.875" customWidth="1"/>
  </cols>
  <sheetData>
    <row r="1" spans="1:7">
      <c r="A1" t="s">
        <v>2</v>
      </c>
      <c r="G1" t="s">
        <v>207</v>
      </c>
    </row>
    <row r="3" spans="1:7" ht="18.75" customHeight="1">
      <c r="A3" t="s">
        <v>245</v>
      </c>
    </row>
    <row r="4" spans="1:7" ht="18.75" customHeight="1">
      <c r="A4" t="s">
        <v>76</v>
      </c>
    </row>
    <row r="6" spans="1:7">
      <c r="A6" t="s">
        <v>143</v>
      </c>
    </row>
    <row r="32" spans="1:1">
      <c r="A32" t="s">
        <v>103</v>
      </c>
    </row>
    <row r="38" spans="1:9">
      <c r="A38" s="41" t="s">
        <v>150</v>
      </c>
      <c r="B38" s="41"/>
      <c r="C38" s="41"/>
      <c r="D38" s="41"/>
      <c r="E38" s="41"/>
      <c r="F38" s="41"/>
      <c r="G38" s="41"/>
      <c r="H38" s="41"/>
      <c r="I38" s="41"/>
    </row>
    <row r="39" spans="1:9">
      <c r="A39" s="42" t="s">
        <v>16</v>
      </c>
      <c r="B39" s="55"/>
      <c r="C39" s="55"/>
      <c r="D39" s="55"/>
      <c r="E39" s="55"/>
      <c r="F39" s="55"/>
      <c r="G39" s="55"/>
      <c r="H39" s="55"/>
      <c r="I39" s="55"/>
    </row>
  </sheetData>
  <mergeCells count="2">
    <mergeCell ref="A38:I38"/>
    <mergeCell ref="A39:I39"/>
  </mergeCells>
  <phoneticPr fontId="1"/>
  <hyperlinks>
    <hyperlink ref="A39" r:id="rId1"/>
  </hyperlinks>
  <pageMargins left="0.7" right="0.7" top="0.75" bottom="0.75" header="0.3" footer="0.3"/>
  <pageSetup paperSize="9" scale="99" fitToWidth="1" fitToHeight="1" orientation="landscape" usePrinterDefaults="1"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0"/>
  <dimension ref="A1:IV12"/>
  <sheetViews>
    <sheetView workbookViewId="0">
      <selection activeCell="EQ12" sqref="EQ12"/>
    </sheetView>
  </sheetViews>
  <sheetFormatPr defaultRowHeight="13.5"/>
  <sheetData>
    <row r="1" spans="1:256">
      <c r="A1" t="e">
        <f>IF(#REF!,"AAAAAD6cbQA=",0)</f>
        <v>#REF!</v>
      </c>
      <c r="B1" t="e">
        <f>AND(#REF!,"AAAAAD6cbQE=")</f>
        <v>#REF!</v>
      </c>
      <c r="C1" t="e">
        <f>AND(#REF!,"AAAAAD6cbQI=")</f>
        <v>#REF!</v>
      </c>
      <c r="D1" t="e">
        <f>AND(#REF!,"AAAAAD6cbQM=")</f>
        <v>#REF!</v>
      </c>
      <c r="E1" t="e">
        <f>AND(#REF!,"AAAAAD6cbQQ=")</f>
        <v>#REF!</v>
      </c>
      <c r="F1" t="e">
        <f>AND(#REF!,"AAAAAD6cbQU=")</f>
        <v>#REF!</v>
      </c>
      <c r="G1" t="e">
        <f>AND(#REF!,"AAAAAD6cbQY=")</f>
        <v>#REF!</v>
      </c>
      <c r="H1" t="e">
        <f>AND(#REF!,"AAAAAD6cbQc=")</f>
        <v>#REF!</v>
      </c>
      <c r="I1" t="e">
        <f>AND(#REF!,"AAAAAD6cbQg=")</f>
        <v>#REF!</v>
      </c>
      <c r="J1" t="e">
        <f>AND(#REF!,"AAAAAD6cbQk=")</f>
        <v>#REF!</v>
      </c>
      <c r="K1" t="e">
        <f>AND(#REF!,"AAAAAD6cbQo=")</f>
        <v>#REF!</v>
      </c>
      <c r="L1" t="e">
        <f>AND(#REF!,"AAAAAD6cbQs=")</f>
        <v>#REF!</v>
      </c>
      <c r="M1" t="e">
        <f>IF(#REF!,"AAAAAD6cbQw=",0)</f>
        <v>#REF!</v>
      </c>
      <c r="N1" t="e">
        <f>AND(#REF!,"AAAAAD6cbQ0=")</f>
        <v>#REF!</v>
      </c>
      <c r="O1" t="e">
        <f>AND(#REF!,"AAAAAD6cbQ4=")</f>
        <v>#REF!</v>
      </c>
      <c r="P1" t="e">
        <f>AND(#REF!,"AAAAAD6cbQ8=")</f>
        <v>#REF!</v>
      </c>
      <c r="Q1" t="e">
        <f>AND(#REF!,"AAAAAD6cbRA=")</f>
        <v>#REF!</v>
      </c>
      <c r="R1" t="e">
        <f>AND(#REF!,"AAAAAD6cbRE=")</f>
        <v>#REF!</v>
      </c>
      <c r="S1" t="e">
        <f>AND(#REF!,"AAAAAD6cbRI=")</f>
        <v>#REF!</v>
      </c>
      <c r="T1" t="e">
        <f>AND(#REF!,"AAAAAD6cbRM=")</f>
        <v>#REF!</v>
      </c>
      <c r="U1" t="e">
        <f>AND(#REF!,"AAAAAD6cbRQ=")</f>
        <v>#REF!</v>
      </c>
      <c r="V1" t="e">
        <f>AND(#REF!,"AAAAAD6cbRU=")</f>
        <v>#REF!</v>
      </c>
      <c r="W1" t="e">
        <f>AND(#REF!,"AAAAAD6cbRY=")</f>
        <v>#REF!</v>
      </c>
      <c r="X1" t="e">
        <f>AND(#REF!,"AAAAAD6cbRc=")</f>
        <v>#REF!</v>
      </c>
      <c r="Y1" t="e">
        <f>IF(#REF!,"AAAAAD6cbRg=",0)</f>
        <v>#REF!</v>
      </c>
      <c r="Z1" t="e">
        <f>AND(#REF!,"AAAAAD6cbRk=")</f>
        <v>#REF!</v>
      </c>
      <c r="AA1" t="e">
        <f>AND(#REF!,"AAAAAD6cbRo=")</f>
        <v>#REF!</v>
      </c>
      <c r="AB1" t="e">
        <f>AND(#REF!,"AAAAAD6cbRs=")</f>
        <v>#REF!</v>
      </c>
      <c r="AC1" t="e">
        <f>AND(#REF!,"AAAAAD6cbRw=")</f>
        <v>#REF!</v>
      </c>
      <c r="AD1" t="e">
        <f>AND(#REF!,"AAAAAD6cbR0=")</f>
        <v>#REF!</v>
      </c>
      <c r="AE1" t="e">
        <f>AND(#REF!,"AAAAAD6cbR4=")</f>
        <v>#REF!</v>
      </c>
      <c r="AF1" t="e">
        <f>AND(#REF!,"AAAAAD6cbR8=")</f>
        <v>#REF!</v>
      </c>
      <c r="AG1" t="e">
        <f>AND(#REF!,"AAAAAD6cbSA=")</f>
        <v>#REF!</v>
      </c>
      <c r="AH1" t="e">
        <f>AND(#REF!,"AAAAAD6cbSE=")</f>
        <v>#REF!</v>
      </c>
      <c r="AI1" t="e">
        <f>AND(#REF!,"AAAAAD6cbSI=")</f>
        <v>#REF!</v>
      </c>
      <c r="AJ1" t="e">
        <f>AND(#REF!,"AAAAAD6cbSM=")</f>
        <v>#REF!</v>
      </c>
      <c r="AK1" t="e">
        <f>IF(#REF!,"AAAAAD6cbSQ=",0)</f>
        <v>#REF!</v>
      </c>
      <c r="AL1" t="e">
        <f>AND(#REF!,"AAAAAD6cbSU=")</f>
        <v>#REF!</v>
      </c>
      <c r="AM1" t="e">
        <f>AND(#REF!,"AAAAAD6cbSY=")</f>
        <v>#REF!</v>
      </c>
      <c r="AN1" t="e">
        <f>AND(#REF!,"AAAAAD6cbSc=")</f>
        <v>#REF!</v>
      </c>
      <c r="AO1" t="e">
        <f>AND(#REF!,"AAAAAD6cbSg=")</f>
        <v>#REF!</v>
      </c>
      <c r="AP1" t="e">
        <f>AND(#REF!,"AAAAAD6cbSk=")</f>
        <v>#REF!</v>
      </c>
      <c r="AQ1" t="e">
        <f>AND(#REF!,"AAAAAD6cbSo=")</f>
        <v>#REF!</v>
      </c>
      <c r="AR1" t="e">
        <f>AND(#REF!,"AAAAAD6cbSs=")</f>
        <v>#REF!</v>
      </c>
      <c r="AS1" t="e">
        <f>AND(#REF!,"AAAAAD6cbSw=")</f>
        <v>#REF!</v>
      </c>
      <c r="AT1" t="e">
        <f>AND(#REF!,"AAAAAD6cbS0=")</f>
        <v>#REF!</v>
      </c>
      <c r="AU1" t="e">
        <f>AND(#REF!,"AAAAAD6cbS4=")</f>
        <v>#REF!</v>
      </c>
      <c r="AV1" t="e">
        <f>AND(#REF!,"AAAAAD6cbS8=")</f>
        <v>#REF!</v>
      </c>
      <c r="AW1" t="e">
        <f>IF(#REF!,"AAAAAD6cbTA=",0)</f>
        <v>#REF!</v>
      </c>
      <c r="AX1" t="e">
        <f>AND(#REF!,"AAAAAD6cbTE=")</f>
        <v>#REF!</v>
      </c>
      <c r="AY1" t="e">
        <f>AND(#REF!,"AAAAAD6cbTI=")</f>
        <v>#REF!</v>
      </c>
      <c r="AZ1" t="e">
        <f>AND(#REF!,"AAAAAD6cbTM=")</f>
        <v>#REF!</v>
      </c>
      <c r="BA1" t="e">
        <f>AND(#REF!,"AAAAAD6cbTQ=")</f>
        <v>#REF!</v>
      </c>
      <c r="BB1" t="e">
        <f>AND(#REF!,"AAAAAD6cbTU=")</f>
        <v>#REF!</v>
      </c>
      <c r="BC1" t="e">
        <f>AND(#REF!,"AAAAAD6cbTY=")</f>
        <v>#REF!</v>
      </c>
      <c r="BD1" t="e">
        <f>AND(#REF!,"AAAAAD6cbTc=")</f>
        <v>#REF!</v>
      </c>
      <c r="BE1" t="e">
        <f>AND(#REF!,"AAAAAD6cbTg=")</f>
        <v>#REF!</v>
      </c>
      <c r="BF1" t="e">
        <f>AND(#REF!,"AAAAAD6cbTk=")</f>
        <v>#REF!</v>
      </c>
      <c r="BG1" t="e">
        <f>AND(#REF!,"AAAAAD6cbTo=")</f>
        <v>#REF!</v>
      </c>
      <c r="BH1" t="e">
        <f>AND(#REF!,"AAAAAD6cbTs=")</f>
        <v>#REF!</v>
      </c>
      <c r="BI1" t="e">
        <f>IF(#REF!,"AAAAAD6cbTw=",0)</f>
        <v>#REF!</v>
      </c>
      <c r="BJ1" t="e">
        <f>IF(#REF!,"AAAAAD6cbT0=",0)</f>
        <v>#REF!</v>
      </c>
      <c r="BK1" t="e">
        <f>IF(#REF!,"AAAAAD6cbT4=",0)</f>
        <v>#REF!</v>
      </c>
      <c r="BL1" t="e">
        <f>IF(#REF!,"AAAAAD6cbT8=",0)</f>
        <v>#REF!</v>
      </c>
      <c r="BM1" t="e">
        <f>IF(#REF!,"AAAAAD6cbUA=",0)</f>
        <v>#REF!</v>
      </c>
      <c r="BN1" t="e">
        <f>IF(#REF!,"AAAAAD6cbUE=",0)</f>
        <v>#REF!</v>
      </c>
      <c r="BO1" t="e">
        <f>IF(#REF!,"AAAAAD6cbUI=",0)</f>
        <v>#REF!</v>
      </c>
      <c r="BP1" t="e">
        <f>IF(#REF!,"AAAAAD6cbUM=",0)</f>
        <v>#REF!</v>
      </c>
      <c r="BQ1" t="e">
        <f>IF(#REF!,"AAAAAD6cbUQ=",0)</f>
        <v>#REF!</v>
      </c>
      <c r="BR1" t="e">
        <f>IF(#REF!,"AAAAAD6cbUU=",0)</f>
        <v>#REF!</v>
      </c>
      <c r="BS1" t="e">
        <f>IF(#REF!,"AAAAAD6cbUY=",0)</f>
        <v>#REF!</v>
      </c>
      <c r="BT1" t="e">
        <f>IF(#REF!,"AAAAAD6cbUc=",0)</f>
        <v>#REF!</v>
      </c>
      <c r="BU1" t="e">
        <f>AND(#REF!,"AAAAAD6cbUg=")</f>
        <v>#REF!</v>
      </c>
      <c r="BV1" t="e">
        <f>AND(#REF!,"AAAAAD6cbUk=")</f>
        <v>#REF!</v>
      </c>
      <c r="BW1" t="e">
        <f>AND(#REF!,"AAAAAD6cbUo=")</f>
        <v>#REF!</v>
      </c>
      <c r="BX1" t="e">
        <f>AND(#REF!,"AAAAAD6cbUs=")</f>
        <v>#REF!</v>
      </c>
      <c r="BY1" t="e">
        <f>AND(#REF!,"AAAAAD6cbUw=")</f>
        <v>#REF!</v>
      </c>
      <c r="BZ1" t="e">
        <f>AND(#REF!,"AAAAAD6cbU0=")</f>
        <v>#REF!</v>
      </c>
      <c r="CA1" t="e">
        <f>AND(#REF!,"AAAAAD6cbU4=")</f>
        <v>#REF!</v>
      </c>
      <c r="CB1" t="e">
        <f>AND(#REF!,"AAAAAD6cbU8=")</f>
        <v>#REF!</v>
      </c>
      <c r="CC1" t="e">
        <f>AND(#REF!,"AAAAAD6cbVA=")</f>
        <v>#REF!</v>
      </c>
      <c r="CD1" t="e">
        <f>IF(#REF!,"AAAAAD6cbVE=",0)</f>
        <v>#REF!</v>
      </c>
      <c r="CE1" t="e">
        <f>AND(#REF!,"AAAAAD6cbVI=")</f>
        <v>#REF!</v>
      </c>
      <c r="CF1" t="e">
        <f>AND(#REF!,"AAAAAD6cbVM=")</f>
        <v>#REF!</v>
      </c>
      <c r="CG1" t="e">
        <f>AND(#REF!,"AAAAAD6cbVQ=")</f>
        <v>#REF!</v>
      </c>
      <c r="CH1" t="e">
        <f>AND(#REF!,"AAAAAD6cbVU=")</f>
        <v>#REF!</v>
      </c>
      <c r="CI1" t="e">
        <f>AND(#REF!,"AAAAAD6cbVY=")</f>
        <v>#REF!</v>
      </c>
      <c r="CJ1" t="e">
        <f>AND(#REF!,"AAAAAD6cbVc=")</f>
        <v>#REF!</v>
      </c>
      <c r="CK1" t="e">
        <f>AND(#REF!,"AAAAAD6cbVg=")</f>
        <v>#REF!</v>
      </c>
      <c r="CL1" t="e">
        <f>AND(#REF!,"AAAAAD6cbVk=")</f>
        <v>#REF!</v>
      </c>
      <c r="CM1" t="e">
        <f>AND(#REF!,"AAAAAD6cbVo=")</f>
        <v>#REF!</v>
      </c>
      <c r="CN1" t="e">
        <f>IF(#REF!,"AAAAAD6cbVs=",0)</f>
        <v>#REF!</v>
      </c>
      <c r="CO1" t="e">
        <f>AND(#REF!,"AAAAAD6cbVw=")</f>
        <v>#REF!</v>
      </c>
      <c r="CP1" t="e">
        <f>AND(#REF!,"AAAAAD6cbV0=")</f>
        <v>#REF!</v>
      </c>
      <c r="CQ1" t="e">
        <f>AND(#REF!,"AAAAAD6cbV4=")</f>
        <v>#REF!</v>
      </c>
      <c r="CR1" t="e">
        <f>AND(#REF!,"AAAAAD6cbV8=")</f>
        <v>#REF!</v>
      </c>
      <c r="CS1" t="e">
        <f>AND(#REF!,"AAAAAD6cbWA=")</f>
        <v>#REF!</v>
      </c>
      <c r="CT1" t="e">
        <f>AND(#REF!,"AAAAAD6cbWE=")</f>
        <v>#REF!</v>
      </c>
      <c r="CU1" t="e">
        <f>AND(#REF!,"AAAAAD6cbWI=")</f>
        <v>#REF!</v>
      </c>
      <c r="CV1" t="e">
        <f>AND(#REF!,"AAAAAD6cbWM=")</f>
        <v>#REF!</v>
      </c>
      <c r="CW1" t="e">
        <f>AND(#REF!,"AAAAAD6cbWQ=")</f>
        <v>#REF!</v>
      </c>
      <c r="CX1" t="e">
        <f>IF(#REF!,"AAAAAD6cbWU=",0)</f>
        <v>#REF!</v>
      </c>
      <c r="CY1" t="e">
        <f>AND(#REF!,"AAAAAD6cbWY=")</f>
        <v>#REF!</v>
      </c>
      <c r="CZ1" t="e">
        <f>AND(#REF!,"AAAAAD6cbWc=")</f>
        <v>#REF!</v>
      </c>
      <c r="DA1" t="e">
        <f>AND(#REF!,"AAAAAD6cbWg=")</f>
        <v>#REF!</v>
      </c>
      <c r="DB1" t="e">
        <f>AND(#REF!,"AAAAAD6cbWk=")</f>
        <v>#REF!</v>
      </c>
      <c r="DC1" t="e">
        <f>AND(#REF!,"AAAAAD6cbWo=")</f>
        <v>#REF!</v>
      </c>
      <c r="DD1" t="e">
        <f>AND(#REF!,"AAAAAD6cbWs=")</f>
        <v>#REF!</v>
      </c>
      <c r="DE1" t="e">
        <f>AND(#REF!,"AAAAAD6cbWw=")</f>
        <v>#REF!</v>
      </c>
      <c r="DF1" t="e">
        <f>AND(#REF!,"AAAAAD6cbW0=")</f>
        <v>#REF!</v>
      </c>
      <c r="DG1" t="e">
        <f>AND(#REF!,"AAAAAD6cbW4=")</f>
        <v>#REF!</v>
      </c>
      <c r="DH1" t="e">
        <f>IF(#REF!,"AAAAAD6cbW8=",0)</f>
        <v>#REF!</v>
      </c>
      <c r="DI1" t="e">
        <f>AND(#REF!,"AAAAAD6cbXA=")</f>
        <v>#REF!</v>
      </c>
      <c r="DJ1" t="e">
        <f>AND(#REF!,"AAAAAD6cbXE=")</f>
        <v>#REF!</v>
      </c>
      <c r="DK1" t="e">
        <f>AND(#REF!,"AAAAAD6cbXI=")</f>
        <v>#REF!</v>
      </c>
      <c r="DL1" t="e">
        <f>AND(#REF!,"AAAAAD6cbXM=")</f>
        <v>#REF!</v>
      </c>
      <c r="DM1" t="e">
        <f>AND(#REF!,"AAAAAD6cbXQ=")</f>
        <v>#REF!</v>
      </c>
      <c r="DN1" t="e">
        <f>AND(#REF!,"AAAAAD6cbXU=")</f>
        <v>#REF!</v>
      </c>
      <c r="DO1" t="e">
        <f>AND(#REF!,"AAAAAD6cbXY=")</f>
        <v>#REF!</v>
      </c>
      <c r="DP1" t="e">
        <f>AND(#REF!,"AAAAAD6cbXc=")</f>
        <v>#REF!</v>
      </c>
      <c r="DQ1" t="e">
        <f>AND(#REF!,"AAAAAD6cbXg=")</f>
        <v>#REF!</v>
      </c>
      <c r="DR1" t="e">
        <f>IF(#REF!,"AAAAAD6cbXk=",0)</f>
        <v>#REF!</v>
      </c>
      <c r="DS1" t="e">
        <f>AND(#REF!,"AAAAAD6cbXo=")</f>
        <v>#REF!</v>
      </c>
      <c r="DT1" t="e">
        <f>AND(#REF!,"AAAAAD6cbXs=")</f>
        <v>#REF!</v>
      </c>
      <c r="DU1" t="e">
        <f>AND(#REF!,"AAAAAD6cbXw=")</f>
        <v>#REF!</v>
      </c>
      <c r="DV1" t="e">
        <f>AND(#REF!,"AAAAAD6cbX0=")</f>
        <v>#REF!</v>
      </c>
      <c r="DW1" t="e">
        <f>AND(#REF!,"AAAAAD6cbX4=")</f>
        <v>#REF!</v>
      </c>
      <c r="DX1" t="e">
        <f>AND(#REF!,"AAAAAD6cbX8=")</f>
        <v>#REF!</v>
      </c>
      <c r="DY1" t="e">
        <f>AND(#REF!,"AAAAAD6cbYA=")</f>
        <v>#REF!</v>
      </c>
      <c r="DZ1" t="e">
        <f>AND(#REF!,"AAAAAD6cbYE=")</f>
        <v>#REF!</v>
      </c>
      <c r="EA1" t="e">
        <f>AND(#REF!,"AAAAAD6cbYI=")</f>
        <v>#REF!</v>
      </c>
      <c r="EB1" t="e">
        <f>IF(#REF!,"AAAAAD6cbYM=",0)</f>
        <v>#REF!</v>
      </c>
      <c r="EC1" t="e">
        <f>AND(#REF!,"AAAAAD6cbYQ=")</f>
        <v>#REF!</v>
      </c>
      <c r="ED1" t="e">
        <f>AND(#REF!,"AAAAAD6cbYU=")</f>
        <v>#REF!</v>
      </c>
      <c r="EE1" t="e">
        <f>AND(#REF!,"AAAAAD6cbYY=")</f>
        <v>#REF!</v>
      </c>
      <c r="EF1" t="e">
        <f>AND(#REF!,"AAAAAD6cbYc=")</f>
        <v>#REF!</v>
      </c>
      <c r="EG1" t="e">
        <f>AND(#REF!,"AAAAAD6cbYg=")</f>
        <v>#REF!</v>
      </c>
      <c r="EH1" t="e">
        <f>AND(#REF!,"AAAAAD6cbYk=")</f>
        <v>#REF!</v>
      </c>
      <c r="EI1" t="e">
        <f>AND(#REF!,"AAAAAD6cbYo=")</f>
        <v>#REF!</v>
      </c>
      <c r="EJ1" t="e">
        <f>AND(#REF!,"AAAAAD6cbYs=")</f>
        <v>#REF!</v>
      </c>
      <c r="EK1" t="e">
        <f>AND(#REF!,"AAAAAD6cbYw=")</f>
        <v>#REF!</v>
      </c>
      <c r="EL1" t="e">
        <f>IF(#REF!,"AAAAAD6cbY0=",0)</f>
        <v>#REF!</v>
      </c>
      <c r="EM1" t="e">
        <f>AND(#REF!,"AAAAAD6cbY4=")</f>
        <v>#REF!</v>
      </c>
      <c r="EN1" t="e">
        <f>AND(#REF!,"AAAAAD6cbY8=")</f>
        <v>#REF!</v>
      </c>
      <c r="EO1" t="e">
        <f>AND(#REF!,"AAAAAD6cbZA=")</f>
        <v>#REF!</v>
      </c>
      <c r="EP1" t="e">
        <f>AND(#REF!,"AAAAAD6cbZE=")</f>
        <v>#REF!</v>
      </c>
      <c r="EQ1" t="e">
        <f>AND(#REF!,"AAAAAD6cbZI=")</f>
        <v>#REF!</v>
      </c>
      <c r="ER1" t="e">
        <f>AND(#REF!,"AAAAAD6cbZM=")</f>
        <v>#REF!</v>
      </c>
      <c r="ES1" t="e">
        <f>AND(#REF!,"AAAAAD6cbZQ=")</f>
        <v>#REF!</v>
      </c>
      <c r="ET1" t="e">
        <f>AND(#REF!,"AAAAAD6cbZU=")</f>
        <v>#REF!</v>
      </c>
      <c r="EU1" t="e">
        <f>AND(#REF!,"AAAAAD6cbZY=")</f>
        <v>#REF!</v>
      </c>
      <c r="EV1" t="e">
        <f>IF(#REF!,"AAAAAD6cbZc=",0)</f>
        <v>#REF!</v>
      </c>
      <c r="EW1" t="e">
        <f>AND(#REF!,"AAAAAD6cbZg=")</f>
        <v>#REF!</v>
      </c>
      <c r="EX1" t="e">
        <f>AND(#REF!,"AAAAAD6cbZk=")</f>
        <v>#REF!</v>
      </c>
      <c r="EY1" t="e">
        <f>AND(#REF!,"AAAAAD6cbZo=")</f>
        <v>#REF!</v>
      </c>
      <c r="EZ1" t="e">
        <f>AND(#REF!,"AAAAAD6cbZs=")</f>
        <v>#REF!</v>
      </c>
      <c r="FA1" t="e">
        <f>AND(#REF!,"AAAAAD6cbZw=")</f>
        <v>#REF!</v>
      </c>
      <c r="FB1" t="e">
        <f>AND(#REF!,"AAAAAD6cbZ0=")</f>
        <v>#REF!</v>
      </c>
      <c r="FC1" t="e">
        <f>AND(#REF!,"AAAAAD6cbZ4=")</f>
        <v>#REF!</v>
      </c>
      <c r="FD1" t="e">
        <f>AND(#REF!,"AAAAAD6cbZ8=")</f>
        <v>#REF!</v>
      </c>
      <c r="FE1" t="e">
        <f>AND(#REF!,"AAAAAD6cbaA=")</f>
        <v>#REF!</v>
      </c>
      <c r="FF1" t="e">
        <f>IF(#REF!,"AAAAAD6cbaE=",0)</f>
        <v>#REF!</v>
      </c>
      <c r="FG1" t="e">
        <f>IF(#REF!,"AAAAAD6cbaI=",0)</f>
        <v>#REF!</v>
      </c>
      <c r="FH1" t="e">
        <f>IF(#REF!,"AAAAAD6cbaM=",0)</f>
        <v>#REF!</v>
      </c>
      <c r="FI1" t="e">
        <f>IF(#REF!,"AAAAAD6cbaQ=",0)</f>
        <v>#REF!</v>
      </c>
      <c r="FJ1" t="e">
        <f>IF(#REF!,"AAAAAD6cbaU=",0)</f>
        <v>#REF!</v>
      </c>
      <c r="FK1" t="e">
        <f>IF(#REF!,"AAAAAD6cbaY=",0)</f>
        <v>#REF!</v>
      </c>
      <c r="FL1" t="e">
        <f>IF(#REF!,"AAAAAD6cbac=",0)</f>
        <v>#REF!</v>
      </c>
      <c r="FM1" t="e">
        <f>IF(#REF!,"AAAAAD6cbag=",0)</f>
        <v>#REF!</v>
      </c>
      <c r="FN1" t="e">
        <f>IF(#REF!,"AAAAAD6cbak=",0)</f>
        <v>#REF!</v>
      </c>
      <c r="FO1" t="e">
        <f>IF(#REF!,"AAAAAD6cbao=",0)</f>
        <v>#REF!</v>
      </c>
      <c r="FP1" t="e">
        <f>AND(#REF!,"AAAAAD6cbas=")</f>
        <v>#REF!</v>
      </c>
      <c r="FQ1" t="e">
        <f>AND(#REF!,"AAAAAD6cbaw=")</f>
        <v>#REF!</v>
      </c>
      <c r="FR1" t="e">
        <f>AND(#REF!,"AAAAAD6cba0=")</f>
        <v>#REF!</v>
      </c>
      <c r="FS1" t="e">
        <f>AND(#REF!,"AAAAAD6cba4=")</f>
        <v>#REF!</v>
      </c>
      <c r="FT1" t="e">
        <f>AND(#REF!,"AAAAAD6cba8=")</f>
        <v>#REF!</v>
      </c>
      <c r="FU1" t="e">
        <f>IF(#REF!,"AAAAAD6cbbA=",0)</f>
        <v>#REF!</v>
      </c>
      <c r="FV1" t="e">
        <f>AND(#REF!,"AAAAAD6cbbE=")</f>
        <v>#REF!</v>
      </c>
      <c r="FW1" t="e">
        <f>AND(#REF!,"AAAAAD6cbbI=")</f>
        <v>#REF!</v>
      </c>
      <c r="FX1" t="e">
        <f>AND(#REF!,"AAAAAD6cbbM=")</f>
        <v>#REF!</v>
      </c>
      <c r="FY1" t="e">
        <f>AND(#REF!,"AAAAAD6cbbQ=")</f>
        <v>#REF!</v>
      </c>
      <c r="FZ1" t="e">
        <f>AND(#REF!,"AAAAAD6cbbU=")</f>
        <v>#REF!</v>
      </c>
      <c r="GA1" t="e">
        <f>IF(#REF!,"AAAAAD6cbbY=",0)</f>
        <v>#REF!</v>
      </c>
      <c r="GB1" t="e">
        <f>AND(#REF!,"AAAAAD6cbbc=")</f>
        <v>#REF!</v>
      </c>
      <c r="GC1" t="e">
        <f>AND(#REF!,"AAAAAD6cbbg=")</f>
        <v>#REF!</v>
      </c>
      <c r="GD1" t="e">
        <f>AND(#REF!,"AAAAAD6cbbk=")</f>
        <v>#REF!</v>
      </c>
      <c r="GE1" t="e">
        <f>AND(#REF!,"AAAAAD6cbbo=")</f>
        <v>#REF!</v>
      </c>
      <c r="GF1" t="e">
        <f>AND(#REF!,"AAAAAD6cbbs=")</f>
        <v>#REF!</v>
      </c>
      <c r="GG1" t="e">
        <f>IF(#REF!,"AAAAAD6cbbw=",0)</f>
        <v>#REF!</v>
      </c>
      <c r="GH1" t="e">
        <f>AND(#REF!,"AAAAAD6cbb0=")</f>
        <v>#REF!</v>
      </c>
      <c r="GI1" t="e">
        <f>AND(#REF!,"AAAAAD6cbb4=")</f>
        <v>#REF!</v>
      </c>
      <c r="GJ1" t="e">
        <f>AND(#REF!,"AAAAAD6cbb8=")</f>
        <v>#REF!</v>
      </c>
      <c r="GK1" t="e">
        <f>AND(#REF!,"AAAAAD6cbcA=")</f>
        <v>#REF!</v>
      </c>
      <c r="GL1" t="e">
        <f>AND(#REF!,"AAAAAD6cbcE=")</f>
        <v>#REF!</v>
      </c>
      <c r="GM1" t="e">
        <f>IF(#REF!,"AAAAAD6cbcI=",0)</f>
        <v>#REF!</v>
      </c>
      <c r="GN1" t="e">
        <f>AND(#REF!,"AAAAAD6cbcM=")</f>
        <v>#REF!</v>
      </c>
      <c r="GO1" t="e">
        <f>AND(#REF!,"AAAAAD6cbcQ=")</f>
        <v>#REF!</v>
      </c>
      <c r="GP1" t="e">
        <f>AND(#REF!,"AAAAAD6cbcU=")</f>
        <v>#REF!</v>
      </c>
      <c r="GQ1" t="e">
        <f>AND(#REF!,"AAAAAD6cbcY=")</f>
        <v>#REF!</v>
      </c>
      <c r="GR1" t="e">
        <f>AND(#REF!,"AAAAAD6cbcc=")</f>
        <v>#REF!</v>
      </c>
      <c r="GS1" t="e">
        <f>IF(#REF!,"AAAAAD6cbcg=",0)</f>
        <v>#REF!</v>
      </c>
      <c r="GT1" t="e">
        <f>AND(#REF!,"AAAAAD6cbck=")</f>
        <v>#REF!</v>
      </c>
      <c r="GU1" t="e">
        <f>AND(#REF!,"AAAAAD6cbco=")</f>
        <v>#REF!</v>
      </c>
      <c r="GV1" t="e">
        <f>AND(#REF!,"AAAAAD6cbcs=")</f>
        <v>#REF!</v>
      </c>
      <c r="GW1" t="e">
        <f>AND(#REF!,"AAAAAD6cbcw=")</f>
        <v>#REF!</v>
      </c>
      <c r="GX1" t="e">
        <f>AND(#REF!,"AAAAAD6cbc0=")</f>
        <v>#REF!</v>
      </c>
      <c r="GY1" t="e">
        <f>IF(#REF!,"AAAAAD6cbc4=",0)</f>
        <v>#REF!</v>
      </c>
      <c r="GZ1" t="e">
        <f>AND(#REF!,"AAAAAD6cbc8=")</f>
        <v>#REF!</v>
      </c>
      <c r="HA1" t="e">
        <f>AND(#REF!,"AAAAAD6cbdA=")</f>
        <v>#REF!</v>
      </c>
      <c r="HB1" t="e">
        <f>AND(#REF!,"AAAAAD6cbdE=")</f>
        <v>#REF!</v>
      </c>
      <c r="HC1" t="e">
        <f>AND(#REF!,"AAAAAD6cbdI=")</f>
        <v>#REF!</v>
      </c>
      <c r="HD1" t="e">
        <f>AND(#REF!,"AAAAAD6cbdM=")</f>
        <v>#REF!</v>
      </c>
      <c r="HE1" t="e">
        <f>IF(#REF!,"AAAAAD6cbdQ=",0)</f>
        <v>#REF!</v>
      </c>
      <c r="HF1" t="e">
        <f>AND(#REF!,"AAAAAD6cbdU=")</f>
        <v>#REF!</v>
      </c>
      <c r="HG1" t="e">
        <f>AND(#REF!,"AAAAAD6cbdY=")</f>
        <v>#REF!</v>
      </c>
      <c r="HH1" t="e">
        <f>AND(#REF!,"AAAAAD6cbdc=")</f>
        <v>#REF!</v>
      </c>
      <c r="HI1" t="e">
        <f>AND(#REF!,"AAAAAD6cbdg=")</f>
        <v>#REF!</v>
      </c>
      <c r="HJ1" t="e">
        <f>AND(#REF!,"AAAAAD6cbdk=")</f>
        <v>#REF!</v>
      </c>
      <c r="HK1" t="e">
        <f>IF(#REF!,"AAAAAD6cbdo=",0)</f>
        <v>#REF!</v>
      </c>
      <c r="HL1" t="e">
        <f>AND(#REF!,"AAAAAD6cbds=")</f>
        <v>#REF!</v>
      </c>
      <c r="HM1" t="e">
        <f>AND(#REF!,"AAAAAD6cbdw=")</f>
        <v>#REF!</v>
      </c>
      <c r="HN1" t="e">
        <f>AND(#REF!,"AAAAAD6cbd0=")</f>
        <v>#REF!</v>
      </c>
      <c r="HO1" t="e">
        <f>AND(#REF!,"AAAAAD6cbd4=")</f>
        <v>#REF!</v>
      </c>
      <c r="HP1" t="e">
        <f>AND(#REF!,"AAAAAD6cbd8=")</f>
        <v>#REF!</v>
      </c>
      <c r="HQ1" t="e">
        <f>IF(#REF!,"AAAAAD6cbeA=",0)</f>
        <v>#REF!</v>
      </c>
      <c r="HR1" t="e">
        <f>AND(#REF!,"AAAAAD6cbeE=")</f>
        <v>#REF!</v>
      </c>
      <c r="HS1" t="e">
        <f>AND(#REF!,"AAAAAD6cbeI=")</f>
        <v>#REF!</v>
      </c>
      <c r="HT1" t="e">
        <f>AND(#REF!,"AAAAAD6cbeM=")</f>
        <v>#REF!</v>
      </c>
      <c r="HU1" t="e">
        <f>AND(#REF!,"AAAAAD6cbeQ=")</f>
        <v>#REF!</v>
      </c>
      <c r="HV1" t="e">
        <f>AND(#REF!,"AAAAAD6cbeU=")</f>
        <v>#REF!</v>
      </c>
      <c r="HW1" t="e">
        <f>IF(#REF!,"AAAAAD6cbeY=",0)</f>
        <v>#REF!</v>
      </c>
      <c r="HX1" t="e">
        <f>AND(#REF!,"AAAAAD6cbec=")</f>
        <v>#REF!</v>
      </c>
      <c r="HY1" t="e">
        <f>AND(#REF!,"AAAAAD6cbeg=")</f>
        <v>#REF!</v>
      </c>
      <c r="HZ1" t="e">
        <f>AND(#REF!,"AAAAAD6cbek=")</f>
        <v>#REF!</v>
      </c>
      <c r="IA1" t="e">
        <f>AND(#REF!,"AAAAAD6cbeo=")</f>
        <v>#REF!</v>
      </c>
      <c r="IB1" t="e">
        <f>AND(#REF!,"AAAAAD6cbes=")</f>
        <v>#REF!</v>
      </c>
      <c r="IC1" t="e">
        <f>IF(#REF!,"AAAAAD6cbew=",0)</f>
        <v>#REF!</v>
      </c>
      <c r="ID1" t="e">
        <f>AND(#REF!,"AAAAAD6cbe0=")</f>
        <v>#REF!</v>
      </c>
      <c r="IE1" t="e">
        <f>AND(#REF!,"AAAAAD6cbe4=")</f>
        <v>#REF!</v>
      </c>
      <c r="IF1" t="e">
        <f>AND(#REF!,"AAAAAD6cbe8=")</f>
        <v>#REF!</v>
      </c>
      <c r="IG1" t="e">
        <f>AND(#REF!,"AAAAAD6cbfA=")</f>
        <v>#REF!</v>
      </c>
      <c r="IH1" t="e">
        <f>AND(#REF!,"AAAAAD6cbfE=")</f>
        <v>#REF!</v>
      </c>
      <c r="II1" t="e">
        <f>IF(#REF!,"AAAAAD6cbfI=",0)</f>
        <v>#REF!</v>
      </c>
      <c r="IJ1" t="e">
        <f>AND(#REF!,"AAAAAD6cbfM=")</f>
        <v>#REF!</v>
      </c>
      <c r="IK1" t="e">
        <f>AND(#REF!,"AAAAAD6cbfQ=")</f>
        <v>#REF!</v>
      </c>
      <c r="IL1" t="e">
        <f>AND(#REF!,"AAAAAD6cbfU=")</f>
        <v>#REF!</v>
      </c>
      <c r="IM1" t="e">
        <f>AND(#REF!,"AAAAAD6cbfY=")</f>
        <v>#REF!</v>
      </c>
      <c r="IN1" t="e">
        <f>AND(#REF!,"AAAAAD6cbfc=")</f>
        <v>#REF!</v>
      </c>
      <c r="IO1" t="e">
        <f>IF(#REF!,"AAAAAD6cbfg=",0)</f>
        <v>#REF!</v>
      </c>
      <c r="IP1" t="e">
        <f>AND(#REF!,"AAAAAD6cbfk=")</f>
        <v>#REF!</v>
      </c>
      <c r="IQ1" t="e">
        <f>AND(#REF!,"AAAAAD6cbfo=")</f>
        <v>#REF!</v>
      </c>
      <c r="IR1" t="e">
        <f>AND(#REF!,"AAAAAD6cbfs=")</f>
        <v>#REF!</v>
      </c>
      <c r="IS1" t="e">
        <f>AND(#REF!,"AAAAAD6cbfw=")</f>
        <v>#REF!</v>
      </c>
      <c r="IT1" t="e">
        <f>AND(#REF!,"AAAAAD6cbf0=")</f>
        <v>#REF!</v>
      </c>
      <c r="IU1" t="e">
        <f>IF(#REF!,"AAAAAD6cbf4=",0)</f>
        <v>#REF!</v>
      </c>
      <c r="IV1" t="e">
        <f>AND(#REF!,"AAAAAD6cbf8=")</f>
        <v>#REF!</v>
      </c>
    </row>
    <row r="2" spans="1:256">
      <c r="A2" t="e">
        <f>AND(#REF!,"AAAAAH+P7wA=")</f>
        <v>#REF!</v>
      </c>
      <c r="B2" t="e">
        <f>AND(#REF!,"AAAAAH+P7wE=")</f>
        <v>#REF!</v>
      </c>
      <c r="C2" t="e">
        <f>AND(#REF!,"AAAAAH+P7wI=")</f>
        <v>#REF!</v>
      </c>
      <c r="D2" t="e">
        <f>AND(#REF!,"AAAAAH+P7wM=")</f>
        <v>#REF!</v>
      </c>
      <c r="E2" t="e">
        <f>IF(#REF!,"AAAAAH+P7wQ=",0)</f>
        <v>#REF!</v>
      </c>
      <c r="F2" t="e">
        <f>IF(#REF!,"AAAAAH+P7wU=",0)</f>
        <v>#REF!</v>
      </c>
      <c r="G2" t="e">
        <f>IF(#REF!,"AAAAAH+P7wY=",0)</f>
        <v>#REF!</v>
      </c>
      <c r="H2" t="e">
        <f>IF(#REF!,"AAAAAH+P7wc=",0)</f>
        <v>#REF!</v>
      </c>
      <c r="I2" t="e">
        <f>IF(#REF!,"AAAAAH+P7wg=",0)</f>
        <v>#REF!</v>
      </c>
      <c r="J2" t="e">
        <f>IF(#REF!,"AAAAAH+P7wk=",0)</f>
        <v>#REF!</v>
      </c>
      <c r="K2" t="e">
        <f>AND(#REF!,"AAAAAH+P7wo=")</f>
        <v>#REF!</v>
      </c>
      <c r="L2" t="e">
        <f>IF(#REF!,"AAAAAH+P7ws=",0)</f>
        <v>#REF!</v>
      </c>
      <c r="M2" t="e">
        <f>IF(#REF!,"AAAAAH+P7ww=",0)</f>
        <v>#REF!</v>
      </c>
      <c r="N2" t="e">
        <f>IF(#REF!,"AAAAAH+P7w0=",0)</f>
        <v>#REF!</v>
      </c>
      <c r="O2" t="e">
        <f>IF(#REF!,"AAAAAH+P7w4=",0)</f>
        <v>#REF!</v>
      </c>
      <c r="P2" t="e">
        <f>IF(#REF!,"AAAAAH+P7w8=",0)</f>
        <v>#REF!</v>
      </c>
      <c r="Q2" t="e">
        <f>IF(#REF!,"AAAAAH+P7xA=",0)</f>
        <v>#REF!</v>
      </c>
      <c r="R2" t="e">
        <f>IF(#REF!,"AAAAAH+P7xE=",0)</f>
        <v>#REF!</v>
      </c>
      <c r="S2" t="e">
        <f>IF(#REF!,"AAAAAH+P7xI=",0)</f>
        <v>#REF!</v>
      </c>
      <c r="T2" t="e">
        <f>IF(#REF!,"AAAAAH+P7xM=",0)</f>
        <v>#REF!</v>
      </c>
      <c r="U2" t="e">
        <f>IF(#REF!,"AAAAAH+P7xQ=",0)</f>
        <v>#REF!</v>
      </c>
      <c r="V2" t="e">
        <f>IF(#REF!,"AAAAAH+P7xU=",0)</f>
        <v>#REF!</v>
      </c>
      <c r="W2" t="e">
        <f>IF(#REF!,"AAAAAH+P7xY=",0)</f>
        <v>#REF!</v>
      </c>
      <c r="X2" t="e">
        <f>IF(#REF!,"AAAAAH+P7xc=",0)</f>
        <v>#REF!</v>
      </c>
      <c r="Y2" t="e">
        <f>IF(#REF!,"AAAAAH+P7xg=",0)</f>
        <v>#REF!</v>
      </c>
      <c r="Z2" t="e">
        <f>IF(#REF!,"AAAAAH+P7xk=",0)</f>
        <v>#REF!</v>
      </c>
      <c r="AA2" t="e">
        <f>IF(#REF!,"AAAAAH+P7xo=",0)</f>
        <v>#REF!</v>
      </c>
      <c r="AB2" t="e">
        <f>IF(#REF!,"AAAAAH+P7xs=",0)</f>
        <v>#REF!</v>
      </c>
      <c r="AC2" t="e">
        <f>IF(#REF!,"AAAAAH+P7xw=",0)</f>
        <v>#REF!</v>
      </c>
      <c r="AD2" t="e">
        <f>IF(#REF!,"AAAAAH+P7x0=",0)</f>
        <v>#REF!</v>
      </c>
      <c r="AE2" t="e">
        <f>IF(#REF!,"AAAAAH+P7x4=",0)</f>
        <v>#REF!</v>
      </c>
      <c r="AF2" t="e">
        <f>IF(#REF!,"AAAAAH+P7x8=",0)</f>
        <v>#REF!</v>
      </c>
      <c r="AG2" t="e">
        <f>IF(#REF!,"AAAAAH+P7yA=",0)</f>
        <v>#REF!</v>
      </c>
      <c r="AH2" t="e">
        <f>IF(#REF!,"AAAAAH+P7yE=",0)</f>
        <v>#REF!</v>
      </c>
      <c r="AI2" t="e">
        <f>IF(#REF!,"AAAAAH+P7yI=",0)</f>
        <v>#REF!</v>
      </c>
      <c r="AJ2" t="e">
        <f>IF(#REF!,"AAAAAH+P7yM=",0)</f>
        <v>#REF!</v>
      </c>
      <c r="AK2" t="e">
        <f>IF(#REF!,"AAAAAH+P7yQ=",0)</f>
        <v>#REF!</v>
      </c>
      <c r="AL2" t="e">
        <f>IF(#REF!,"AAAAAH+P7yU=",0)</f>
        <v>#REF!</v>
      </c>
      <c r="AM2" t="e">
        <f>IF(#REF!,"AAAAAH+P7yY=",0)</f>
        <v>#REF!</v>
      </c>
      <c r="AN2" t="e">
        <f>IF(#REF!,"AAAAAH+P7yc=",0)</f>
        <v>#REF!</v>
      </c>
      <c r="AO2" t="e">
        <f>IF(#REF!,"AAAAAH+P7yg=",0)</f>
        <v>#REF!</v>
      </c>
      <c r="AP2" t="e">
        <f>IF(#REF!,"AAAAAH+P7yk=",0)</f>
        <v>#REF!</v>
      </c>
      <c r="AQ2" t="e">
        <f>IF(#REF!,"AAAAAH+P7yo=",0)</f>
        <v>#REF!</v>
      </c>
      <c r="AR2" t="e">
        <f>IF(#REF!,"AAAAAH+P7ys=",0)</f>
        <v>#REF!</v>
      </c>
      <c r="AS2" t="e">
        <f>IF(#REF!,"AAAAAH+P7yw=",0)</f>
        <v>#REF!</v>
      </c>
      <c r="AT2" t="e">
        <f>IF(#REF!,"AAAAAH+P7y0=",0)</f>
        <v>#REF!</v>
      </c>
      <c r="AU2" t="e">
        <f>IF(#REF!,"AAAAAH+P7y4=",0)</f>
        <v>#REF!</v>
      </c>
      <c r="AV2" t="e">
        <f>IF(#REF!,"AAAAAH+P7y8=",0)</f>
        <v>#REF!</v>
      </c>
      <c r="AW2" t="e">
        <f>IF(#REF!,"AAAAAH+P7zA=",0)</f>
        <v>#REF!</v>
      </c>
      <c r="AX2" t="e">
        <f>IF(#REF!,"AAAAAH+P7zE=",0)</f>
        <v>#REF!</v>
      </c>
      <c r="AY2" t="e">
        <f>IF(#REF!,"AAAAAH+P7zI=",0)</f>
        <v>#REF!</v>
      </c>
      <c r="AZ2" t="e">
        <f>IF(#REF!,"AAAAAH+P7zM=",0)</f>
        <v>#REF!</v>
      </c>
      <c r="BA2" t="e">
        <f>IF(#REF!,"AAAAAH+P7zQ=",0)</f>
        <v>#REF!</v>
      </c>
      <c r="BB2" t="e">
        <f>IF(#REF!,"AAAAAH+P7zU=",0)</f>
        <v>#REF!</v>
      </c>
      <c r="BC2" t="e">
        <f>IF(#REF!,"AAAAAH+P7zY=",0)</f>
        <v>#REF!</v>
      </c>
      <c r="BD2" t="e">
        <f>IF(#REF!,"AAAAAH+P7zc=",0)</f>
        <v>#REF!</v>
      </c>
      <c r="BE2" t="e">
        <f>IF(#REF!,"AAAAAH+P7zg=",0)</f>
        <v>#REF!</v>
      </c>
      <c r="BF2" t="e">
        <f>IF(#REF!,"AAAAAH+P7zk=",0)</f>
        <v>#REF!</v>
      </c>
      <c r="BG2" t="e">
        <f>IF(#REF!,"AAAAAH+P7zo=",0)</f>
        <v>#REF!</v>
      </c>
      <c r="BH2" t="e">
        <f>IF(#REF!,"AAAAAH+P7zs=",0)</f>
        <v>#REF!</v>
      </c>
      <c r="BI2" t="e">
        <f>IF(#REF!,"AAAAAH+P7zw=",0)</f>
        <v>#REF!</v>
      </c>
      <c r="BJ2" t="e">
        <f>AND(#REF!,"AAAAAH+P7z0=")</f>
        <v>#REF!</v>
      </c>
      <c r="BK2" t="e">
        <f>AND(#REF!,"AAAAAH+P7z4=")</f>
        <v>#REF!</v>
      </c>
      <c r="BL2" t="e">
        <f>AND(#REF!,"AAAAAH+P7z8=")</f>
        <v>#REF!</v>
      </c>
      <c r="BM2" t="e">
        <f>AND(#REF!,"AAAAAH+P70A=")</f>
        <v>#REF!</v>
      </c>
      <c r="BN2" t="e">
        <f>AND(#REF!,"AAAAAH+P70E=")</f>
        <v>#REF!</v>
      </c>
      <c r="BO2" t="e">
        <f>AND(#REF!,"AAAAAH+P70I=")</f>
        <v>#REF!</v>
      </c>
      <c r="BP2" t="e">
        <f>AND(#REF!,"AAAAAH+P70M=")</f>
        <v>#REF!</v>
      </c>
      <c r="BQ2" t="e">
        <f>AND(#REF!,"AAAAAH+P70Q=")</f>
        <v>#REF!</v>
      </c>
      <c r="BR2" t="e">
        <f>AND(#REF!,"AAAAAH+P70U=")</f>
        <v>#REF!</v>
      </c>
      <c r="BS2" t="e">
        <f>IF(#REF!,"AAAAAH+P70Y=",0)</f>
        <v>#REF!</v>
      </c>
      <c r="BT2" t="e">
        <f>AND(#REF!,"AAAAAH+P70c=")</f>
        <v>#REF!</v>
      </c>
      <c r="BU2" t="e">
        <f>AND(#REF!,"AAAAAH+P70g=")</f>
        <v>#REF!</v>
      </c>
      <c r="BV2" t="e">
        <f>AND(#REF!,"AAAAAH+P70k=")</f>
        <v>#REF!</v>
      </c>
      <c r="BW2" t="e">
        <f>AND(#REF!,"AAAAAH+P70o=")</f>
        <v>#REF!</v>
      </c>
      <c r="BX2" t="e">
        <f>AND(#REF!,"AAAAAH+P70s=")</f>
        <v>#REF!</v>
      </c>
      <c r="BY2" t="e">
        <f>AND(#REF!,"AAAAAH+P70w=")</f>
        <v>#REF!</v>
      </c>
      <c r="BZ2" t="e">
        <f>AND(#REF!,"AAAAAH+P700=")</f>
        <v>#REF!</v>
      </c>
      <c r="CA2" t="e">
        <f>AND(#REF!,"AAAAAH+P704=")</f>
        <v>#REF!</v>
      </c>
      <c r="CB2" t="e">
        <f>AND(#REF!,"AAAAAH+P708=")</f>
        <v>#REF!</v>
      </c>
      <c r="CC2" t="e">
        <f>IF(#REF!,"AAAAAH+P71A=",0)</f>
        <v>#REF!</v>
      </c>
      <c r="CD2" t="e">
        <f>AND(#REF!,"AAAAAH+P71E=")</f>
        <v>#REF!</v>
      </c>
      <c r="CE2" t="e">
        <f>AND(#REF!,"AAAAAH+P71I=")</f>
        <v>#REF!</v>
      </c>
      <c r="CF2" t="e">
        <f>AND(#REF!,"AAAAAH+P71M=")</f>
        <v>#REF!</v>
      </c>
      <c r="CG2" t="e">
        <f>AND(#REF!,"AAAAAH+P71Q=")</f>
        <v>#REF!</v>
      </c>
      <c r="CH2" t="e">
        <f>AND(#REF!,"AAAAAH+P71U=")</f>
        <v>#REF!</v>
      </c>
      <c r="CI2" t="e">
        <f>AND(#REF!,"AAAAAH+P71Y=")</f>
        <v>#REF!</v>
      </c>
      <c r="CJ2" t="e">
        <f>AND(#REF!,"AAAAAH+P71c=")</f>
        <v>#REF!</v>
      </c>
      <c r="CK2" t="e">
        <f>AND(#REF!,"AAAAAH+P71g=")</f>
        <v>#REF!</v>
      </c>
      <c r="CL2" t="e">
        <f>AND(#REF!,"AAAAAH+P71k=")</f>
        <v>#REF!</v>
      </c>
      <c r="CM2" t="e">
        <f>IF(#REF!,"AAAAAH+P71o=",0)</f>
        <v>#REF!</v>
      </c>
      <c r="CN2" t="e">
        <f>AND(#REF!,"AAAAAH+P71s=")</f>
        <v>#REF!</v>
      </c>
      <c r="CO2" t="e">
        <f>AND(#REF!,"AAAAAH+P71w=")</f>
        <v>#REF!</v>
      </c>
      <c r="CP2" t="e">
        <f>AND(#REF!,"AAAAAH+P710=")</f>
        <v>#REF!</v>
      </c>
      <c r="CQ2" t="e">
        <f>AND(#REF!,"AAAAAH+P714=")</f>
        <v>#REF!</v>
      </c>
      <c r="CR2" t="e">
        <f>AND(#REF!,"AAAAAH+P718=")</f>
        <v>#REF!</v>
      </c>
      <c r="CS2" t="e">
        <f>AND(#REF!,"AAAAAH+P72A=")</f>
        <v>#REF!</v>
      </c>
      <c r="CT2" t="e">
        <f>AND(#REF!,"AAAAAH+P72E=")</f>
        <v>#REF!</v>
      </c>
      <c r="CU2" t="e">
        <f>AND(#REF!,"AAAAAH+P72I=")</f>
        <v>#REF!</v>
      </c>
      <c r="CV2" t="e">
        <f>AND(#REF!,"AAAAAH+P72M=")</f>
        <v>#REF!</v>
      </c>
      <c r="CW2" t="e">
        <f>IF(#REF!,"AAAAAH+P72Q=",0)</f>
        <v>#REF!</v>
      </c>
      <c r="CX2" t="e">
        <f>AND(#REF!,"AAAAAH+P72U=")</f>
        <v>#REF!</v>
      </c>
      <c r="CY2" t="e">
        <f>AND(#REF!,"AAAAAH+P72Y=")</f>
        <v>#REF!</v>
      </c>
      <c r="CZ2" t="e">
        <f>AND(#REF!,"AAAAAH+P72c=")</f>
        <v>#REF!</v>
      </c>
      <c r="DA2" t="e">
        <f>AND(#REF!,"AAAAAH+P72g=")</f>
        <v>#REF!</v>
      </c>
      <c r="DB2" t="e">
        <f>AND(#REF!,"AAAAAH+P72k=")</f>
        <v>#REF!</v>
      </c>
      <c r="DC2" t="e">
        <f>AND(#REF!,"AAAAAH+P72o=")</f>
        <v>#REF!</v>
      </c>
      <c r="DD2" t="e">
        <f>AND(#REF!,"AAAAAH+P72s=")</f>
        <v>#REF!</v>
      </c>
      <c r="DE2" t="e">
        <f>AND(#REF!,"AAAAAH+P72w=")</f>
        <v>#REF!</v>
      </c>
      <c r="DF2" t="e">
        <f>AND(#REF!,"AAAAAH+P720=")</f>
        <v>#REF!</v>
      </c>
      <c r="DG2" t="e">
        <f>IF(#REF!,"AAAAAH+P724=",0)</f>
        <v>#REF!</v>
      </c>
      <c r="DH2" t="e">
        <f>AND(#REF!,"AAAAAH+P728=")</f>
        <v>#REF!</v>
      </c>
      <c r="DI2" t="e">
        <f>AND(#REF!,"AAAAAH+P73A=")</f>
        <v>#REF!</v>
      </c>
      <c r="DJ2" t="e">
        <f>AND(#REF!,"AAAAAH+P73E=")</f>
        <v>#REF!</v>
      </c>
      <c r="DK2" t="e">
        <f>AND(#REF!,"AAAAAH+P73I=")</f>
        <v>#REF!</v>
      </c>
      <c r="DL2" t="e">
        <f>AND(#REF!,"AAAAAH+P73M=")</f>
        <v>#REF!</v>
      </c>
      <c r="DM2" t="e">
        <f>AND(#REF!,"AAAAAH+P73Q=")</f>
        <v>#REF!</v>
      </c>
      <c r="DN2" t="e">
        <f>AND(#REF!,"AAAAAH+P73U=")</f>
        <v>#REF!</v>
      </c>
      <c r="DO2" t="e">
        <f>AND(#REF!,"AAAAAH+P73Y=")</f>
        <v>#REF!</v>
      </c>
      <c r="DP2" t="e">
        <f>AND(#REF!,"AAAAAH+P73c=")</f>
        <v>#REF!</v>
      </c>
      <c r="DQ2" t="e">
        <f>IF(#REF!,"AAAAAH+P73g=",0)</f>
        <v>#REF!</v>
      </c>
      <c r="DR2" t="e">
        <f>AND(#REF!,"AAAAAH+P73k=")</f>
        <v>#REF!</v>
      </c>
      <c r="DS2" t="e">
        <f>AND(#REF!,"AAAAAH+P73o=")</f>
        <v>#REF!</v>
      </c>
      <c r="DT2" t="e">
        <f>AND(#REF!,"AAAAAH+P73s=")</f>
        <v>#REF!</v>
      </c>
      <c r="DU2" t="e">
        <f>AND(#REF!,"AAAAAH+P73w=")</f>
        <v>#REF!</v>
      </c>
      <c r="DV2" t="e">
        <f>AND(#REF!,"AAAAAH+P730=")</f>
        <v>#REF!</v>
      </c>
      <c r="DW2" t="e">
        <f>AND(#REF!,"AAAAAH+P734=")</f>
        <v>#REF!</v>
      </c>
      <c r="DX2" t="e">
        <f>AND(#REF!,"AAAAAH+P738=")</f>
        <v>#REF!</v>
      </c>
      <c r="DY2" t="e">
        <f>AND(#REF!,"AAAAAH+P74A=")</f>
        <v>#REF!</v>
      </c>
      <c r="DZ2" t="e">
        <f>AND(#REF!,"AAAAAH+P74E=")</f>
        <v>#REF!</v>
      </c>
      <c r="EA2" t="e">
        <f>IF(#REF!,"AAAAAH+P74I=",0)</f>
        <v>#REF!</v>
      </c>
      <c r="EB2" t="e">
        <f>AND(#REF!,"AAAAAH+P74M=")</f>
        <v>#REF!</v>
      </c>
      <c r="EC2" t="e">
        <f>AND(#REF!,"AAAAAH+P74Q=")</f>
        <v>#REF!</v>
      </c>
      <c r="ED2" t="e">
        <f>AND(#REF!,"AAAAAH+P74U=")</f>
        <v>#REF!</v>
      </c>
      <c r="EE2" t="e">
        <f>AND(#REF!,"AAAAAH+P74Y=")</f>
        <v>#REF!</v>
      </c>
      <c r="EF2" t="e">
        <f>AND(#REF!,"AAAAAH+P74c=")</f>
        <v>#REF!</v>
      </c>
      <c r="EG2" t="e">
        <f>AND(#REF!,"AAAAAH+P74g=")</f>
        <v>#REF!</v>
      </c>
      <c r="EH2" t="e">
        <f>AND(#REF!,"AAAAAH+P74k=")</f>
        <v>#REF!</v>
      </c>
      <c r="EI2" t="e">
        <f>AND(#REF!,"AAAAAH+P74o=")</f>
        <v>#REF!</v>
      </c>
      <c r="EJ2" t="e">
        <f>AND(#REF!,"AAAAAH+P74s=")</f>
        <v>#REF!</v>
      </c>
      <c r="EK2" t="e">
        <f>IF(#REF!,"AAAAAH+P74w=",0)</f>
        <v>#REF!</v>
      </c>
      <c r="EL2" t="e">
        <f>AND(#REF!,"AAAAAH+P740=")</f>
        <v>#REF!</v>
      </c>
      <c r="EM2" t="e">
        <f>AND(#REF!,"AAAAAH+P744=")</f>
        <v>#REF!</v>
      </c>
      <c r="EN2" t="e">
        <f>AND(#REF!,"AAAAAH+P748=")</f>
        <v>#REF!</v>
      </c>
      <c r="EO2" t="e">
        <f>AND(#REF!,"AAAAAH+P75A=")</f>
        <v>#REF!</v>
      </c>
      <c r="EP2" t="e">
        <f>AND(#REF!,"AAAAAH+P75E=")</f>
        <v>#REF!</v>
      </c>
      <c r="EQ2" t="e">
        <f>AND(#REF!,"AAAAAH+P75I=")</f>
        <v>#REF!</v>
      </c>
      <c r="ER2" t="e">
        <f>AND(#REF!,"AAAAAH+P75M=")</f>
        <v>#REF!</v>
      </c>
      <c r="ES2" t="e">
        <f>AND(#REF!,"AAAAAH+P75Q=")</f>
        <v>#REF!</v>
      </c>
      <c r="ET2" t="e">
        <f>AND(#REF!,"AAAAAH+P75U=")</f>
        <v>#REF!</v>
      </c>
      <c r="EU2" t="e">
        <f>IF(#REF!,"AAAAAH+P75Y=",0)</f>
        <v>#REF!</v>
      </c>
      <c r="EV2" t="e">
        <f>AND(#REF!,"AAAAAH+P75c=")</f>
        <v>#REF!</v>
      </c>
      <c r="EW2" t="e">
        <f>AND(#REF!,"AAAAAH+P75g=")</f>
        <v>#REF!</v>
      </c>
      <c r="EX2" t="e">
        <f>AND(#REF!,"AAAAAH+P75k=")</f>
        <v>#REF!</v>
      </c>
      <c r="EY2" t="e">
        <f>AND(#REF!,"AAAAAH+P75o=")</f>
        <v>#REF!</v>
      </c>
      <c r="EZ2" t="e">
        <f>AND(#REF!,"AAAAAH+P75s=")</f>
        <v>#REF!</v>
      </c>
      <c r="FA2" t="e">
        <f>AND(#REF!,"AAAAAH+P75w=")</f>
        <v>#REF!</v>
      </c>
      <c r="FB2" t="e">
        <f>AND(#REF!,"AAAAAH+P750=")</f>
        <v>#REF!</v>
      </c>
      <c r="FC2" t="e">
        <f>AND(#REF!,"AAAAAH+P754=")</f>
        <v>#REF!</v>
      </c>
      <c r="FD2" t="e">
        <f>AND(#REF!,"AAAAAH+P758=")</f>
        <v>#REF!</v>
      </c>
      <c r="FE2" t="e">
        <f>IF(#REF!,"AAAAAH+P76A=",0)</f>
        <v>#REF!</v>
      </c>
      <c r="FF2" t="e">
        <f>AND(#REF!,"AAAAAH+P76E=")</f>
        <v>#REF!</v>
      </c>
      <c r="FG2" t="e">
        <f>AND(#REF!,"AAAAAH+P76I=")</f>
        <v>#REF!</v>
      </c>
      <c r="FH2" t="e">
        <f>AND(#REF!,"AAAAAH+P76M=")</f>
        <v>#REF!</v>
      </c>
      <c r="FI2" t="e">
        <f>AND(#REF!,"AAAAAH+P76Q=")</f>
        <v>#REF!</v>
      </c>
      <c r="FJ2" t="e">
        <f>AND(#REF!,"AAAAAH+P76U=")</f>
        <v>#REF!</v>
      </c>
      <c r="FK2" t="e">
        <f>AND(#REF!,"AAAAAH+P76Y=")</f>
        <v>#REF!</v>
      </c>
      <c r="FL2" t="e">
        <f>AND(#REF!,"AAAAAH+P76c=")</f>
        <v>#REF!</v>
      </c>
      <c r="FM2" t="e">
        <f>AND(#REF!,"AAAAAH+P76g=")</f>
        <v>#REF!</v>
      </c>
      <c r="FN2" t="e">
        <f>AND(#REF!,"AAAAAH+P76k=")</f>
        <v>#REF!</v>
      </c>
      <c r="FO2" t="e">
        <f>IF(#REF!,"AAAAAH+P76o=",0)</f>
        <v>#REF!</v>
      </c>
      <c r="FP2" t="e">
        <f>AND(#REF!,"AAAAAH+P76s=")</f>
        <v>#REF!</v>
      </c>
      <c r="FQ2" t="e">
        <f>AND(#REF!,"AAAAAH+P76w=")</f>
        <v>#REF!</v>
      </c>
      <c r="FR2" t="e">
        <f>AND(#REF!,"AAAAAH+P760=")</f>
        <v>#REF!</v>
      </c>
      <c r="FS2" t="e">
        <f>AND(#REF!,"AAAAAH+P764=")</f>
        <v>#REF!</v>
      </c>
      <c r="FT2" t="e">
        <f>AND(#REF!,"AAAAAH+P768=")</f>
        <v>#REF!</v>
      </c>
      <c r="FU2" t="e">
        <f>AND(#REF!,"AAAAAH+P77A=")</f>
        <v>#REF!</v>
      </c>
      <c r="FV2" t="e">
        <f>AND(#REF!,"AAAAAH+P77E=")</f>
        <v>#REF!</v>
      </c>
      <c r="FW2" t="e">
        <f>AND(#REF!,"AAAAAH+P77I=")</f>
        <v>#REF!</v>
      </c>
      <c r="FX2" t="e">
        <f>AND(#REF!,"AAAAAH+P77M=")</f>
        <v>#REF!</v>
      </c>
      <c r="FY2" t="e">
        <f>IF(#REF!,"AAAAAH+P77Q=",0)</f>
        <v>#REF!</v>
      </c>
      <c r="FZ2" t="e">
        <f>AND(#REF!,"AAAAAH+P77U=")</f>
        <v>#REF!</v>
      </c>
      <c r="GA2" t="e">
        <f>IF(#REF!,"AAAAAH+P77Y=",0)</f>
        <v>#REF!</v>
      </c>
      <c r="GB2" t="e">
        <f>IF(#REF!,"AAAAAH+P77c=",0)</f>
        <v>#REF!</v>
      </c>
      <c r="GC2" t="e">
        <f>IF(#REF!,"AAAAAH+P77g=",0)</f>
        <v>#REF!</v>
      </c>
      <c r="GD2" t="e">
        <f>IF(#REF!,"AAAAAH+P77k=",0)</f>
        <v>#REF!</v>
      </c>
      <c r="GE2" t="e">
        <f>IF(#REF!,"AAAAAH+P77o=",0)</f>
        <v>#REF!</v>
      </c>
      <c r="GF2" t="e">
        <f>IF(#REF!,"AAAAAH+P77s=",0)</f>
        <v>#REF!</v>
      </c>
      <c r="GG2" t="e">
        <f>IF(#REF!,"AAAAAH+P77w=",0)</f>
        <v>#REF!</v>
      </c>
      <c r="GH2" t="e">
        <f>IF(#REF!,"AAAAAH+P770=",0)</f>
        <v>#REF!</v>
      </c>
      <c r="GI2" t="e">
        <f>IF(#REF!,"AAAAAH+P774=",0)</f>
        <v>#REF!</v>
      </c>
      <c r="GJ2" t="e">
        <f>IF(#REF!,"AAAAAH+P778=",0)</f>
        <v>#REF!</v>
      </c>
      <c r="GK2" t="e">
        <f>AND(#REF!,"AAAAAH+P78A=")</f>
        <v>#REF!</v>
      </c>
      <c r="GL2" t="e">
        <f>AND(#REF!,"AAAAAH+P78E=")</f>
        <v>#REF!</v>
      </c>
      <c r="GM2" t="e">
        <f>AND(#REF!,"AAAAAH+P78I=")</f>
        <v>#REF!</v>
      </c>
      <c r="GN2" t="e">
        <f>AND(#REF!,"AAAAAH+P78M=")</f>
        <v>#REF!</v>
      </c>
      <c r="GO2" t="e">
        <f>AND(#REF!,"AAAAAH+P78Q=")</f>
        <v>#REF!</v>
      </c>
      <c r="GP2" t="e">
        <f>AND(#REF!,"AAAAAH+P78U=")</f>
        <v>#REF!</v>
      </c>
      <c r="GQ2" t="e">
        <f>AND(#REF!,"AAAAAH+P78Y=")</f>
        <v>#REF!</v>
      </c>
      <c r="GR2" t="e">
        <f>AND(#REF!,"AAAAAH+P78c=")</f>
        <v>#REF!</v>
      </c>
      <c r="GS2" t="e">
        <f>AND(#REF!,"AAAAAH+P78g=")</f>
        <v>#REF!</v>
      </c>
      <c r="GT2" t="e">
        <f>AND(#REF!,"AAAAAH+P78k=")</f>
        <v>#REF!</v>
      </c>
      <c r="GU2" t="e">
        <f>AND(#REF!,"AAAAAH+P78o=")</f>
        <v>#REF!</v>
      </c>
      <c r="GV2" t="e">
        <f>AND(#REF!,"AAAAAH+P78s=")</f>
        <v>#REF!</v>
      </c>
      <c r="GW2" t="e">
        <f>IF(#REF!,"AAAAAH+P78w=",0)</f>
        <v>#REF!</v>
      </c>
      <c r="GX2" t="e">
        <f>AND(#REF!,"AAAAAH+P780=")</f>
        <v>#REF!</v>
      </c>
      <c r="GY2" t="e">
        <f>AND(#REF!,"AAAAAH+P784=")</f>
        <v>#REF!</v>
      </c>
      <c r="GZ2" t="e">
        <f>AND(#REF!,"AAAAAH+P788=")</f>
        <v>#REF!</v>
      </c>
      <c r="HA2" t="e">
        <f>AND(#REF!,"AAAAAH+P79A=")</f>
        <v>#REF!</v>
      </c>
      <c r="HB2" t="e">
        <f>AND(#REF!,"AAAAAH+P79E=")</f>
        <v>#REF!</v>
      </c>
      <c r="HC2" t="e">
        <f>AND(#REF!,"AAAAAH+P79I=")</f>
        <v>#REF!</v>
      </c>
      <c r="HD2" t="e">
        <f>AND(#REF!,"AAAAAH+P79M=")</f>
        <v>#REF!</v>
      </c>
      <c r="HE2" t="e">
        <f>AND(#REF!,"AAAAAH+P79Q=")</f>
        <v>#REF!</v>
      </c>
      <c r="HF2" t="e">
        <f>AND(#REF!,"AAAAAH+P79U=")</f>
        <v>#REF!</v>
      </c>
      <c r="HG2" t="e">
        <f>AND(#REF!,"AAAAAH+P79Y=")</f>
        <v>#REF!</v>
      </c>
      <c r="HH2" t="e">
        <f>AND(#REF!,"AAAAAH+P79c=")</f>
        <v>#REF!</v>
      </c>
      <c r="HI2" t="e">
        <f>AND(#REF!,"AAAAAH+P79g=")</f>
        <v>#REF!</v>
      </c>
      <c r="HJ2" t="e">
        <f>IF(#REF!,"AAAAAH+P79k=",0)</f>
        <v>#REF!</v>
      </c>
      <c r="HK2" t="e">
        <f>AND(#REF!,"AAAAAH+P79o=")</f>
        <v>#REF!</v>
      </c>
      <c r="HL2" t="e">
        <f>AND(#REF!,"AAAAAH+P79s=")</f>
        <v>#REF!</v>
      </c>
      <c r="HM2" t="e">
        <f>AND(#REF!,"AAAAAH+P79w=")</f>
        <v>#REF!</v>
      </c>
      <c r="HN2" t="e">
        <f>AND(#REF!,"AAAAAH+P790=")</f>
        <v>#REF!</v>
      </c>
      <c r="HO2" t="e">
        <f>AND(#REF!,"AAAAAH+P794=")</f>
        <v>#REF!</v>
      </c>
      <c r="HP2" t="e">
        <f>AND(#REF!,"AAAAAH+P798=")</f>
        <v>#REF!</v>
      </c>
      <c r="HQ2" t="e">
        <f>AND(#REF!,"AAAAAH+P7+A=")</f>
        <v>#REF!</v>
      </c>
      <c r="HR2" t="e">
        <f>AND(#REF!,"AAAAAH+P7+E=")</f>
        <v>#REF!</v>
      </c>
      <c r="HS2" t="e">
        <f>AND(#REF!,"AAAAAH+P7+I=")</f>
        <v>#REF!</v>
      </c>
      <c r="HT2" t="e">
        <f>AND(#REF!,"AAAAAH+P7+M=")</f>
        <v>#REF!</v>
      </c>
      <c r="HU2" t="e">
        <f>AND(#REF!,"AAAAAH+P7+Q=")</f>
        <v>#REF!</v>
      </c>
      <c r="HV2" t="e">
        <f>AND(#REF!,"AAAAAH+P7+U=")</f>
        <v>#REF!</v>
      </c>
      <c r="HW2" t="e">
        <f>IF(#REF!,"AAAAAH+P7+Y=",0)</f>
        <v>#REF!</v>
      </c>
      <c r="HX2" t="e">
        <f>IF(#REF!,"AAAAAH+P7+c=",0)</f>
        <v>#REF!</v>
      </c>
      <c r="HY2" t="e">
        <f>IF(#REF!,"AAAAAH+P7+g=",0)</f>
        <v>#REF!</v>
      </c>
      <c r="HZ2" t="e">
        <f>IF(#REF!,"AAAAAH+P7+k=",0)</f>
        <v>#REF!</v>
      </c>
      <c r="IA2" t="e">
        <f>IF(#REF!,"AAAAAH+P7+o=",0)</f>
        <v>#REF!</v>
      </c>
      <c r="IB2" t="e">
        <f>IF(#REF!,"AAAAAH+P7+s=",0)</f>
        <v>#REF!</v>
      </c>
      <c r="IC2" t="e">
        <f>IF(#REF!,"AAAAAH+P7+w=",0)</f>
        <v>#REF!</v>
      </c>
      <c r="ID2" t="e">
        <f>IF(#REF!,"AAAAAH+P7+0=",0)</f>
        <v>#REF!</v>
      </c>
      <c r="IE2" t="e">
        <f>IF(#REF!,"AAAAAH+P7+4=",0)</f>
        <v>#REF!</v>
      </c>
      <c r="IF2" t="e">
        <f>IF(#REF!,"AAAAAH+P7+8=",0)</f>
        <v>#REF!</v>
      </c>
      <c r="IG2" t="e">
        <f>IF(#REF!,"AAAAAH+P7/A=",0)</f>
        <v>#REF!</v>
      </c>
      <c r="IH2" t="e">
        <f>IF(#REF!,"AAAAAH+P7/E=",0)</f>
        <v>#REF!</v>
      </c>
      <c r="II2" t="e">
        <f>IF(#REF!,"AAAAAH+P7/I=",0)</f>
        <v>#REF!</v>
      </c>
      <c r="IJ2" t="e">
        <f>IF(#REF!,"AAAAAH+P7/M=",0)</f>
        <v>#REF!</v>
      </c>
      <c r="IK2" t="e">
        <f>IF(#REF!,"AAAAAH+P7/Q=",0)</f>
        <v>#REF!</v>
      </c>
      <c r="IL2" t="e">
        <f>IF(#REF!,"AAAAAH+P7/U=",0)</f>
        <v>#REF!</v>
      </c>
      <c r="IM2" t="e">
        <f>IF(#REF!,"AAAAAH+P7/Y=",0)</f>
        <v>#REF!</v>
      </c>
      <c r="IN2" t="e">
        <f>IF(#REF!,"AAAAAH+P7/c=",0)</f>
        <v>#REF!</v>
      </c>
      <c r="IO2" t="e">
        <f>IF(#REF!,"AAAAAH+P7/g=",0)</f>
        <v>#REF!</v>
      </c>
      <c r="IP2" t="e">
        <f>IF(#REF!,"AAAAAH+P7/k=",0)</f>
        <v>#REF!</v>
      </c>
      <c r="IQ2" t="e">
        <f>IF(#REF!,"AAAAAH+P7/o=",0)</f>
        <v>#REF!</v>
      </c>
      <c r="IR2" t="e">
        <f>IF(#REF!,"AAAAAH+P7/s=",0)</f>
        <v>#REF!</v>
      </c>
      <c r="IS2" t="e">
        <f>IF(#REF!,"AAAAAH+P7/w=",0)</f>
        <v>#REF!</v>
      </c>
      <c r="IT2" t="e">
        <f>IF(#REF!,"AAAAAH+P7/0=",0)</f>
        <v>#REF!</v>
      </c>
      <c r="IU2" t="e">
        <f>IF(#REF!,"AAAAAH+P7/4=",0)</f>
        <v>#REF!</v>
      </c>
      <c r="IV2" t="e">
        <f>AND(#REF!,"AAAAAH+P7/8=")</f>
        <v>#REF!</v>
      </c>
    </row>
    <row r="3" spans="1:256">
      <c r="A3" t="e">
        <f>AND(#REF!,"AAAAAH///wA=")</f>
        <v>#REF!</v>
      </c>
      <c r="B3" t="e">
        <f>AND(#REF!,"AAAAAH///wE=")</f>
        <v>#REF!</v>
      </c>
      <c r="C3" t="e">
        <f>AND(#REF!,"AAAAAH///wI=")</f>
        <v>#REF!</v>
      </c>
      <c r="D3" t="e">
        <f>IF(#REF!,"AAAAAH///wM=",0)</f>
        <v>#REF!</v>
      </c>
      <c r="E3" t="e">
        <f>AND(#REF!,"AAAAAH///wQ=")</f>
        <v>#REF!</v>
      </c>
      <c r="F3" t="e">
        <f>AND(#REF!,"AAAAAH///wU=")</f>
        <v>#REF!</v>
      </c>
      <c r="G3" t="e">
        <f>AND(#REF!,"AAAAAH///wY=")</f>
        <v>#REF!</v>
      </c>
      <c r="H3" t="e">
        <f>AND(#REF!,"AAAAAH///wc=")</f>
        <v>#REF!</v>
      </c>
      <c r="I3" t="e">
        <f>IF(#REF!,"AAAAAH///wg=",0)</f>
        <v>#REF!</v>
      </c>
      <c r="J3" t="e">
        <f>AND(#REF!,"AAAAAH///wk=")</f>
        <v>#REF!</v>
      </c>
      <c r="K3" t="e">
        <f>AND(#REF!,"AAAAAH///wo=")</f>
        <v>#REF!</v>
      </c>
      <c r="L3" t="e">
        <f>AND(#REF!,"AAAAAH///ws=")</f>
        <v>#REF!</v>
      </c>
      <c r="M3" t="e">
        <f>AND(#REF!,"AAAAAH///ww=")</f>
        <v>#REF!</v>
      </c>
      <c r="N3" t="e">
        <f>IF(#REF!,"AAAAAH///w0=",0)</f>
        <v>#REF!</v>
      </c>
      <c r="O3" t="e">
        <f>AND(#REF!,"AAAAAH///w4=")</f>
        <v>#REF!</v>
      </c>
      <c r="P3" t="e">
        <f>AND(#REF!,"AAAAAH///w8=")</f>
        <v>#REF!</v>
      </c>
      <c r="Q3" t="e">
        <f>AND(#REF!,"AAAAAH///xA=")</f>
        <v>#REF!</v>
      </c>
      <c r="R3" t="e">
        <f>AND(#REF!,"AAAAAH///xE=")</f>
        <v>#REF!</v>
      </c>
      <c r="S3" t="e">
        <f>IF(#REF!,"AAAAAH///xI=",0)</f>
        <v>#REF!</v>
      </c>
      <c r="T3" t="e">
        <f>AND(#REF!,"AAAAAH///xM=")</f>
        <v>#REF!</v>
      </c>
      <c r="U3" t="e">
        <f>AND(#REF!,"AAAAAH///xQ=")</f>
        <v>#REF!</v>
      </c>
      <c r="V3" t="e">
        <f>AND(#REF!,"AAAAAH///xU=")</f>
        <v>#REF!</v>
      </c>
      <c r="W3" t="e">
        <f>AND(#REF!,"AAAAAH///xY=")</f>
        <v>#REF!</v>
      </c>
      <c r="X3" t="e">
        <f>IF(#REF!,"AAAAAH///xc=",0)</f>
        <v>#REF!</v>
      </c>
      <c r="Y3" t="e">
        <f>AND(#REF!,"AAAAAH///xg=")</f>
        <v>#REF!</v>
      </c>
      <c r="Z3" t="e">
        <f>AND(#REF!,"AAAAAH///xk=")</f>
        <v>#REF!</v>
      </c>
      <c r="AA3" t="e">
        <f>AND(#REF!,"AAAAAH///xo=")</f>
        <v>#REF!</v>
      </c>
      <c r="AB3" t="e">
        <f>AND(#REF!,"AAAAAH///xs=")</f>
        <v>#REF!</v>
      </c>
      <c r="AC3" t="e">
        <f>IF(#REF!,"AAAAAH///xw=",0)</f>
        <v>#REF!</v>
      </c>
      <c r="AD3" t="e">
        <f>AND(#REF!,"AAAAAH///x0=")</f>
        <v>#REF!</v>
      </c>
      <c r="AE3" t="e">
        <f>AND(#REF!,"AAAAAH///x4=")</f>
        <v>#REF!</v>
      </c>
      <c r="AF3" t="e">
        <f>AND(#REF!,"AAAAAH///x8=")</f>
        <v>#REF!</v>
      </c>
      <c r="AG3" t="e">
        <f>AND(#REF!,"AAAAAH///yA=")</f>
        <v>#REF!</v>
      </c>
      <c r="AH3" t="e">
        <f>IF(#REF!,"AAAAAH///yE=",0)</f>
        <v>#REF!</v>
      </c>
      <c r="AI3" t="e">
        <f>AND(#REF!,"AAAAAH///yI=")</f>
        <v>#REF!</v>
      </c>
      <c r="AJ3" t="e">
        <f>AND(#REF!,"AAAAAH///yM=")</f>
        <v>#REF!</v>
      </c>
      <c r="AK3" t="e">
        <f>AND(#REF!,"AAAAAH///yQ=")</f>
        <v>#REF!</v>
      </c>
      <c r="AL3" t="e">
        <f>AND(#REF!,"AAAAAH///yU=")</f>
        <v>#REF!</v>
      </c>
      <c r="AM3" t="e">
        <f>IF(#REF!,"AAAAAH///yY=",0)</f>
        <v>#REF!</v>
      </c>
      <c r="AN3" t="e">
        <f>AND(#REF!,"AAAAAH///yc=")</f>
        <v>#REF!</v>
      </c>
      <c r="AO3" t="e">
        <f>AND(#REF!,"AAAAAH///yg=")</f>
        <v>#REF!</v>
      </c>
      <c r="AP3" t="e">
        <f>AND(#REF!,"AAAAAH///yk=")</f>
        <v>#REF!</v>
      </c>
      <c r="AQ3" t="e">
        <f>AND(#REF!,"AAAAAH///yo=")</f>
        <v>#REF!</v>
      </c>
      <c r="AR3" t="e">
        <f>IF(#REF!,"AAAAAH///ys=",0)</f>
        <v>#REF!</v>
      </c>
      <c r="AS3" t="e">
        <f>AND(#REF!,"AAAAAH///yw=")</f>
        <v>#REF!</v>
      </c>
      <c r="AT3" t="e">
        <f>AND(#REF!,"AAAAAH///y0=")</f>
        <v>#REF!</v>
      </c>
      <c r="AU3" t="e">
        <f>AND(#REF!,"AAAAAH///y4=")</f>
        <v>#REF!</v>
      </c>
      <c r="AV3" t="e">
        <f>AND(#REF!,"AAAAAH///y8=")</f>
        <v>#REF!</v>
      </c>
      <c r="AW3" t="e">
        <f>IF(#REF!,"AAAAAH///zA=",0)</f>
        <v>#REF!</v>
      </c>
      <c r="AX3" t="e">
        <f>AND(#REF!,"AAAAAH///zE=")</f>
        <v>#REF!</v>
      </c>
      <c r="AY3" t="e">
        <f>AND(#REF!,"AAAAAH///zI=")</f>
        <v>#REF!</v>
      </c>
      <c r="AZ3" t="e">
        <f>AND(#REF!,"AAAAAH///zM=")</f>
        <v>#REF!</v>
      </c>
      <c r="BA3" t="e">
        <f>AND(#REF!,"AAAAAH///zQ=")</f>
        <v>#REF!</v>
      </c>
      <c r="BB3" t="e">
        <f>IF(#REF!,"AAAAAH///zU=",0)</f>
        <v>#REF!</v>
      </c>
      <c r="BC3" t="e">
        <f>AND(#REF!,"AAAAAH///zY=")</f>
        <v>#REF!</v>
      </c>
      <c r="BD3" t="e">
        <f>AND(#REF!,"AAAAAH///zc=")</f>
        <v>#REF!</v>
      </c>
      <c r="BE3" t="e">
        <f>AND(#REF!,"AAAAAH///zg=")</f>
        <v>#REF!</v>
      </c>
      <c r="BF3" t="e">
        <f>AND(#REF!,"AAAAAH///zk=")</f>
        <v>#REF!</v>
      </c>
      <c r="BG3" t="e">
        <f>IF(#REF!,"AAAAAH///zo=",0)</f>
        <v>#REF!</v>
      </c>
      <c r="BH3" t="e">
        <f>IF(#REF!,"AAAAAH///zs=",0)</f>
        <v>#REF!</v>
      </c>
      <c r="BI3" t="e">
        <f>IF(#REF!,"AAAAAH///zw=",0)</f>
        <v>#REF!</v>
      </c>
      <c r="BJ3" t="e">
        <f>IF(#REF!,"AAAAAH///z0=",0)</f>
        <v>#REF!</v>
      </c>
      <c r="BK3" t="e">
        <f>IF(#REF!,"AAAAAH///z4=",0)</f>
        <v>#REF!</v>
      </c>
      <c r="BL3" t="e">
        <f>AND(#REF!,"AAAAAH///z8=")</f>
        <v>#REF!</v>
      </c>
      <c r="BM3" t="e">
        <f>AND(#REF!,"AAAAAH///0A=")</f>
        <v>#REF!</v>
      </c>
      <c r="BN3" t="e">
        <f>AND(#REF!,"AAAAAH///0E=")</f>
        <v>#REF!</v>
      </c>
      <c r="BO3" t="e">
        <f>AND(#REF!,"AAAAAH///0I=")</f>
        <v>#REF!</v>
      </c>
      <c r="BP3" t="e">
        <f>AND(#REF!,"AAAAAH///0M=")</f>
        <v>#REF!</v>
      </c>
      <c r="BQ3" t="e">
        <f>AND(#REF!,"AAAAAH///0Q=")</f>
        <v>#REF!</v>
      </c>
      <c r="BR3" t="e">
        <f>AND(#REF!,"AAAAAH///0U=")</f>
        <v>#REF!</v>
      </c>
      <c r="BS3" t="e">
        <f>AND(#REF!,"AAAAAH///0Y=")</f>
        <v>#REF!</v>
      </c>
      <c r="BT3" t="e">
        <f>AND(#REF!,"AAAAAH///0c=")</f>
        <v>#REF!</v>
      </c>
      <c r="BU3" t="e">
        <f>IF(#REF!,"AAAAAH///0g=",0)</f>
        <v>#REF!</v>
      </c>
      <c r="BV3" t="e">
        <f>AND(#REF!,"AAAAAH///0k=")</f>
        <v>#REF!</v>
      </c>
      <c r="BW3" t="e">
        <f>AND(#REF!,"AAAAAH///0o=")</f>
        <v>#REF!</v>
      </c>
      <c r="BX3" t="e">
        <f>AND(#REF!,"AAAAAH///0s=")</f>
        <v>#REF!</v>
      </c>
      <c r="BY3" t="e">
        <f>AND(#REF!,"AAAAAH///0w=")</f>
        <v>#REF!</v>
      </c>
      <c r="BZ3" t="e">
        <f>AND(#REF!,"AAAAAH///00=")</f>
        <v>#REF!</v>
      </c>
      <c r="CA3" t="e">
        <f>AND(#REF!,"AAAAAH///04=")</f>
        <v>#REF!</v>
      </c>
      <c r="CB3" t="e">
        <f>AND(#REF!,"AAAAAH///08=")</f>
        <v>#REF!</v>
      </c>
      <c r="CC3" t="e">
        <f>AND(#REF!,"AAAAAH///1A=")</f>
        <v>#REF!</v>
      </c>
      <c r="CD3" t="e">
        <f>AND(#REF!,"AAAAAH///1E=")</f>
        <v>#REF!</v>
      </c>
      <c r="CE3" t="e">
        <f>IF(#REF!,"AAAAAH///1I=",0)</f>
        <v>#REF!</v>
      </c>
      <c r="CF3" t="e">
        <f>AND(#REF!,"AAAAAH///1M=")</f>
        <v>#REF!</v>
      </c>
      <c r="CG3" t="e">
        <f>AND(#REF!,"AAAAAH///1Q=")</f>
        <v>#REF!</v>
      </c>
      <c r="CH3" t="e">
        <f>AND(#REF!,"AAAAAH///1U=")</f>
        <v>#REF!</v>
      </c>
      <c r="CI3" t="e">
        <f>AND(#REF!,"AAAAAH///1Y=")</f>
        <v>#REF!</v>
      </c>
      <c r="CJ3" t="e">
        <f>AND(#REF!,"AAAAAH///1c=")</f>
        <v>#REF!</v>
      </c>
      <c r="CK3" t="e">
        <f>AND(#REF!,"AAAAAH///1g=")</f>
        <v>#REF!</v>
      </c>
      <c r="CL3" t="e">
        <f>AND(#REF!,"AAAAAH///1k=")</f>
        <v>#REF!</v>
      </c>
      <c r="CM3" t="e">
        <f>AND(#REF!,"AAAAAH///1o=")</f>
        <v>#REF!</v>
      </c>
      <c r="CN3" t="e">
        <f>AND(#REF!,"AAAAAH///1s=")</f>
        <v>#REF!</v>
      </c>
      <c r="CO3" t="e">
        <f>IF(#REF!,"AAAAAH///1w=",0)</f>
        <v>#REF!</v>
      </c>
      <c r="CP3" t="e">
        <f>AND(#REF!,"AAAAAH///10=")</f>
        <v>#REF!</v>
      </c>
      <c r="CQ3" t="e">
        <f>AND(#REF!,"AAAAAH///14=")</f>
        <v>#REF!</v>
      </c>
      <c r="CR3" t="e">
        <f>AND(#REF!,"AAAAAH///18=")</f>
        <v>#REF!</v>
      </c>
      <c r="CS3" t="e">
        <f>AND(#REF!,"AAAAAH///2A=")</f>
        <v>#REF!</v>
      </c>
      <c r="CT3" t="e">
        <f>AND(#REF!,"AAAAAH///2E=")</f>
        <v>#REF!</v>
      </c>
      <c r="CU3" t="e">
        <f>AND(#REF!,"AAAAAH///2I=")</f>
        <v>#REF!</v>
      </c>
      <c r="CV3" t="e">
        <f>AND(#REF!,"AAAAAH///2M=")</f>
        <v>#REF!</v>
      </c>
      <c r="CW3" t="e">
        <f>AND(#REF!,"AAAAAH///2Q=")</f>
        <v>#REF!</v>
      </c>
      <c r="CX3" t="e">
        <f>AND(#REF!,"AAAAAH///2U=")</f>
        <v>#REF!</v>
      </c>
      <c r="CY3" t="e">
        <f>IF(#REF!,"AAAAAH///2Y=",0)</f>
        <v>#REF!</v>
      </c>
      <c r="CZ3" t="e">
        <f>AND(#REF!,"AAAAAH///2c=")</f>
        <v>#REF!</v>
      </c>
      <c r="DA3" t="e">
        <f>AND(#REF!,"AAAAAH///2g=")</f>
        <v>#REF!</v>
      </c>
      <c r="DB3" t="e">
        <f>AND(#REF!,"AAAAAH///2k=")</f>
        <v>#REF!</v>
      </c>
      <c r="DC3" t="e">
        <f>AND(#REF!,"AAAAAH///2o=")</f>
        <v>#REF!</v>
      </c>
      <c r="DD3" t="e">
        <f>AND(#REF!,"AAAAAH///2s=")</f>
        <v>#REF!</v>
      </c>
      <c r="DE3" t="e">
        <f>AND(#REF!,"AAAAAH///2w=")</f>
        <v>#REF!</v>
      </c>
      <c r="DF3" t="e">
        <f>AND(#REF!,"AAAAAH///20=")</f>
        <v>#REF!</v>
      </c>
      <c r="DG3" t="e">
        <f>AND(#REF!,"AAAAAH///24=")</f>
        <v>#REF!</v>
      </c>
      <c r="DH3" t="e">
        <f>AND(#REF!,"AAAAAH///28=")</f>
        <v>#REF!</v>
      </c>
      <c r="DI3" t="e">
        <f>IF(#REF!,"AAAAAH///3A=",0)</f>
        <v>#REF!</v>
      </c>
      <c r="DJ3" t="e">
        <f>AND(#REF!,"AAAAAH///3E=")</f>
        <v>#REF!</v>
      </c>
      <c r="DK3" t="e">
        <f>AND(#REF!,"AAAAAH///3I=")</f>
        <v>#REF!</v>
      </c>
      <c r="DL3" t="e">
        <f>AND(#REF!,"AAAAAH///3M=")</f>
        <v>#REF!</v>
      </c>
      <c r="DM3" t="e">
        <f>AND(#REF!,"AAAAAH///3Q=")</f>
        <v>#REF!</v>
      </c>
      <c r="DN3" t="e">
        <f>AND(#REF!,"AAAAAH///3U=")</f>
        <v>#REF!</v>
      </c>
      <c r="DO3" t="e">
        <f>AND(#REF!,"AAAAAH///3Y=")</f>
        <v>#REF!</v>
      </c>
      <c r="DP3" t="e">
        <f>AND(#REF!,"AAAAAH///3c=")</f>
        <v>#REF!</v>
      </c>
      <c r="DQ3" t="e">
        <f>AND(#REF!,"AAAAAH///3g=")</f>
        <v>#REF!</v>
      </c>
      <c r="DR3" t="e">
        <f>AND(#REF!,"AAAAAH///3k=")</f>
        <v>#REF!</v>
      </c>
      <c r="DS3" t="e">
        <f>IF(#REF!,"AAAAAH///3o=",0)</f>
        <v>#REF!</v>
      </c>
      <c r="DT3" t="e">
        <f>AND(#REF!,"AAAAAH///3s=")</f>
        <v>#REF!</v>
      </c>
      <c r="DU3" t="e">
        <f>AND(#REF!,"AAAAAH///3w=")</f>
        <v>#REF!</v>
      </c>
      <c r="DV3" t="e">
        <f>AND(#REF!,"AAAAAH///30=")</f>
        <v>#REF!</v>
      </c>
      <c r="DW3" t="e">
        <f>AND(#REF!,"AAAAAH///34=")</f>
        <v>#REF!</v>
      </c>
      <c r="DX3" t="e">
        <f>AND(#REF!,"AAAAAH///38=")</f>
        <v>#REF!</v>
      </c>
      <c r="DY3" t="e">
        <f>AND(#REF!,"AAAAAH///4A=")</f>
        <v>#REF!</v>
      </c>
      <c r="DZ3" t="e">
        <f>AND(#REF!,"AAAAAH///4E=")</f>
        <v>#REF!</v>
      </c>
      <c r="EA3" t="e">
        <f>AND(#REF!,"AAAAAH///4I=")</f>
        <v>#REF!</v>
      </c>
      <c r="EB3" t="e">
        <f>AND(#REF!,"AAAAAH///4M=")</f>
        <v>#REF!</v>
      </c>
      <c r="EC3" t="e">
        <f>IF(#REF!,"AAAAAH///4Q=",0)</f>
        <v>#REF!</v>
      </c>
      <c r="ED3" t="e">
        <f>AND(#REF!,"AAAAAH///4U=")</f>
        <v>#REF!</v>
      </c>
      <c r="EE3" t="e">
        <f>AND(#REF!,"AAAAAH///4Y=")</f>
        <v>#REF!</v>
      </c>
      <c r="EF3" t="e">
        <f>AND(#REF!,"AAAAAH///4c=")</f>
        <v>#REF!</v>
      </c>
      <c r="EG3" t="e">
        <f>AND(#REF!,"AAAAAH///4g=")</f>
        <v>#REF!</v>
      </c>
      <c r="EH3" t="e">
        <f>AND(#REF!,"AAAAAH///4k=")</f>
        <v>#REF!</v>
      </c>
      <c r="EI3" t="e">
        <f>AND(#REF!,"AAAAAH///4o=")</f>
        <v>#REF!</v>
      </c>
      <c r="EJ3" t="e">
        <f>AND(#REF!,"AAAAAH///4s=")</f>
        <v>#REF!</v>
      </c>
      <c r="EK3" t="e">
        <f>AND(#REF!,"AAAAAH///4w=")</f>
        <v>#REF!</v>
      </c>
      <c r="EL3" t="e">
        <f>AND(#REF!,"AAAAAH///40=")</f>
        <v>#REF!</v>
      </c>
      <c r="EM3" t="e">
        <f>IF(#REF!,"AAAAAH///44=",0)</f>
        <v>#REF!</v>
      </c>
      <c r="EN3" t="e">
        <f>AND(#REF!,"AAAAAH///48=")</f>
        <v>#REF!</v>
      </c>
      <c r="EO3" t="e">
        <f>AND(#REF!,"AAAAAH///5A=")</f>
        <v>#REF!</v>
      </c>
      <c r="EP3" t="e">
        <f>AND(#REF!,"AAAAAH///5E=")</f>
        <v>#REF!</v>
      </c>
      <c r="EQ3" t="e">
        <f>AND(#REF!,"AAAAAH///5I=")</f>
        <v>#REF!</v>
      </c>
      <c r="ER3" t="e">
        <f>AND(#REF!,"AAAAAH///5M=")</f>
        <v>#REF!</v>
      </c>
      <c r="ES3" t="e">
        <f>AND(#REF!,"AAAAAH///5Q=")</f>
        <v>#REF!</v>
      </c>
      <c r="ET3" t="e">
        <f>AND(#REF!,"AAAAAH///5U=")</f>
        <v>#REF!</v>
      </c>
      <c r="EU3" t="e">
        <f>AND(#REF!,"AAAAAH///5Y=")</f>
        <v>#REF!</v>
      </c>
      <c r="EV3" t="e">
        <f>AND(#REF!,"AAAAAH///5c=")</f>
        <v>#REF!</v>
      </c>
      <c r="EW3" t="e">
        <f>IF(#REF!,"AAAAAH///5g=",0)</f>
        <v>#REF!</v>
      </c>
      <c r="EX3" t="e">
        <f>AND(#REF!,"AAAAAH///5k=")</f>
        <v>#REF!</v>
      </c>
      <c r="EY3" t="e">
        <f>AND(#REF!,"AAAAAH///5o=")</f>
        <v>#REF!</v>
      </c>
      <c r="EZ3" t="e">
        <f>AND(#REF!,"AAAAAH///5s=")</f>
        <v>#REF!</v>
      </c>
      <c r="FA3" t="e">
        <f>AND(#REF!,"AAAAAH///5w=")</f>
        <v>#REF!</v>
      </c>
      <c r="FB3" t="e">
        <f>AND(#REF!,"AAAAAH///50=")</f>
        <v>#REF!</v>
      </c>
      <c r="FC3" t="e">
        <f>AND(#REF!,"AAAAAH///54=")</f>
        <v>#REF!</v>
      </c>
      <c r="FD3" t="e">
        <f>AND(#REF!,"AAAAAH///58=")</f>
        <v>#REF!</v>
      </c>
      <c r="FE3" t="e">
        <f>AND(#REF!,"AAAAAH///6A=")</f>
        <v>#REF!</v>
      </c>
      <c r="FF3" t="e">
        <f>AND(#REF!,"AAAAAH///6E=")</f>
        <v>#REF!</v>
      </c>
      <c r="FG3" t="e">
        <f>IF(#REF!,"AAAAAH///6I=",0)</f>
        <v>#REF!</v>
      </c>
      <c r="FH3" t="e">
        <f>AND(#REF!,"AAAAAH///6M=")</f>
        <v>#REF!</v>
      </c>
      <c r="FI3" t="e">
        <f>AND(#REF!,"AAAAAH///6Q=")</f>
        <v>#REF!</v>
      </c>
      <c r="FJ3" t="e">
        <f>AND(#REF!,"AAAAAH///6U=")</f>
        <v>#REF!</v>
      </c>
      <c r="FK3" t="e">
        <f>AND(#REF!,"AAAAAH///6Y=")</f>
        <v>#REF!</v>
      </c>
      <c r="FL3" t="e">
        <f>AND(#REF!,"AAAAAH///6c=")</f>
        <v>#REF!</v>
      </c>
      <c r="FM3" t="e">
        <f>AND(#REF!,"AAAAAH///6g=")</f>
        <v>#REF!</v>
      </c>
      <c r="FN3" t="e">
        <f>AND(#REF!,"AAAAAH///6k=")</f>
        <v>#REF!</v>
      </c>
      <c r="FO3" t="e">
        <f>AND(#REF!,"AAAAAH///6o=")</f>
        <v>#REF!</v>
      </c>
      <c r="FP3" t="e">
        <f>AND(#REF!,"AAAAAH///6s=")</f>
        <v>#REF!</v>
      </c>
      <c r="FQ3" t="e">
        <f>IF(#REF!,"AAAAAH///6w=",0)</f>
        <v>#REF!</v>
      </c>
      <c r="FR3" t="e">
        <f>IF(#REF!,"AAAAAH///60=",0)</f>
        <v>#REF!</v>
      </c>
      <c r="FS3" t="e">
        <f>IF(#REF!,"AAAAAH///64=",0)</f>
        <v>#REF!</v>
      </c>
      <c r="FT3" t="e">
        <f>IF(#REF!,"AAAAAH///68=",0)</f>
        <v>#REF!</v>
      </c>
      <c r="FU3" t="e">
        <f>IF(#REF!,"AAAAAH///7A=",0)</f>
        <v>#REF!</v>
      </c>
      <c r="FV3" t="e">
        <f>IF(#REF!,"AAAAAH///7E=",0)</f>
        <v>#REF!</v>
      </c>
      <c r="FW3" t="e">
        <f>IF(#REF!,"AAAAAH///7I=",0)</f>
        <v>#REF!</v>
      </c>
      <c r="FX3" t="e">
        <f>IF(#REF!,"AAAAAH///7M=",0)</f>
        <v>#REF!</v>
      </c>
      <c r="FY3" t="e">
        <f>IF(#REF!,"AAAAAH///7Q=",0)</f>
        <v>#REF!</v>
      </c>
      <c r="FZ3" t="e">
        <f>IF(#REF!,"AAAAAH///7U=",0)</f>
        <v>#REF!</v>
      </c>
      <c r="GA3" t="e">
        <f>AND(#REF!,"AAAAAH///7Y=")</f>
        <v>#REF!</v>
      </c>
      <c r="GB3" t="e">
        <f>AND(#REF!,"AAAAAH///7c=")</f>
        <v>#REF!</v>
      </c>
      <c r="GC3" t="e">
        <f>AND(#REF!,"AAAAAH///7g=")</f>
        <v>#REF!</v>
      </c>
      <c r="GD3" t="e">
        <f>AND(#REF!,"AAAAAH///7k=")</f>
        <v>#REF!</v>
      </c>
      <c r="GE3" t="e">
        <f>AND(#REF!,"AAAAAH///7o=")</f>
        <v>#REF!</v>
      </c>
      <c r="GF3" t="e">
        <f>AND(#REF!,"AAAAAH///7s=")</f>
        <v>#REF!</v>
      </c>
      <c r="GG3" t="e">
        <f>AND(#REF!,"AAAAAH///7w=")</f>
        <v>#REF!</v>
      </c>
      <c r="GH3" t="e">
        <f>AND(#REF!,"AAAAAH///70=")</f>
        <v>#REF!</v>
      </c>
      <c r="GI3" t="e">
        <f>AND(#REF!,"AAAAAH///74=")</f>
        <v>#REF!</v>
      </c>
      <c r="GJ3" t="e">
        <f>AND(#REF!,"AAAAAH///78=")</f>
        <v>#REF!</v>
      </c>
      <c r="GK3" t="e">
        <f>IF(#REF!,"AAAAAH///8A=",0)</f>
        <v>#REF!</v>
      </c>
      <c r="GL3" t="e">
        <f>AND(#REF!,"AAAAAH///8E=")</f>
        <v>#REF!</v>
      </c>
      <c r="GM3" t="e">
        <f>AND(#REF!,"AAAAAH///8I=")</f>
        <v>#REF!</v>
      </c>
      <c r="GN3" t="e">
        <f>AND(#REF!,"AAAAAH///8M=")</f>
        <v>#REF!</v>
      </c>
      <c r="GO3" t="e">
        <f>AND(#REF!,"AAAAAH///8Q=")</f>
        <v>#REF!</v>
      </c>
      <c r="GP3" t="e">
        <f>AND(#REF!,"AAAAAH///8U=")</f>
        <v>#REF!</v>
      </c>
      <c r="GQ3" t="e">
        <f>AND(#REF!,"AAAAAH///8Y=")</f>
        <v>#REF!</v>
      </c>
      <c r="GR3" t="e">
        <f>AND(#REF!,"AAAAAH///8c=")</f>
        <v>#REF!</v>
      </c>
      <c r="GS3" t="e">
        <f>AND(#REF!,"AAAAAH///8g=")</f>
        <v>#REF!</v>
      </c>
      <c r="GT3" t="e">
        <f>AND(#REF!,"AAAAAH///8k=")</f>
        <v>#REF!</v>
      </c>
      <c r="GU3" t="e">
        <f>AND(#REF!,"AAAAAH///8o=")</f>
        <v>#REF!</v>
      </c>
      <c r="GV3" t="e">
        <f>IF(#REF!,"AAAAAH///8s=",0)</f>
        <v>#REF!</v>
      </c>
      <c r="GW3" t="e">
        <f>AND(#REF!,"AAAAAH///8w=")</f>
        <v>#REF!</v>
      </c>
      <c r="GX3" t="e">
        <f>AND(#REF!,"AAAAAH///80=")</f>
        <v>#REF!</v>
      </c>
      <c r="GY3" t="e">
        <f>AND(#REF!,"AAAAAH///84=")</f>
        <v>#REF!</v>
      </c>
      <c r="GZ3" t="e">
        <f>AND(#REF!,"AAAAAH///88=")</f>
        <v>#REF!</v>
      </c>
      <c r="HA3" t="e">
        <f>AND(#REF!,"AAAAAH///9A=")</f>
        <v>#REF!</v>
      </c>
      <c r="HB3" t="e">
        <f>AND(#REF!,"AAAAAH///9E=")</f>
        <v>#REF!</v>
      </c>
      <c r="HC3" t="e">
        <f>AND(#REF!,"AAAAAH///9I=")</f>
        <v>#REF!</v>
      </c>
      <c r="HD3" t="e">
        <f>AND(#REF!,"AAAAAH///9M=")</f>
        <v>#REF!</v>
      </c>
      <c r="HE3" t="e">
        <f>AND(#REF!,"AAAAAH///9Q=")</f>
        <v>#REF!</v>
      </c>
      <c r="HF3" t="e">
        <f>AND(#REF!,"AAAAAH///9U=")</f>
        <v>#REF!</v>
      </c>
      <c r="HG3" t="e">
        <f>IF(#REF!,"AAAAAH///9Y=",0)</f>
        <v>#REF!</v>
      </c>
      <c r="HH3" t="e">
        <f>AND(#REF!,"AAAAAH///9c=")</f>
        <v>#REF!</v>
      </c>
      <c r="HI3" t="e">
        <f>AND(#REF!,"AAAAAH///9g=")</f>
        <v>#REF!</v>
      </c>
      <c r="HJ3" t="e">
        <f>AND(#REF!,"AAAAAH///9k=")</f>
        <v>#REF!</v>
      </c>
      <c r="HK3" t="e">
        <f>AND(#REF!,"AAAAAH///9o=")</f>
        <v>#REF!</v>
      </c>
      <c r="HL3" t="e">
        <f>AND(#REF!,"AAAAAH///9s=")</f>
        <v>#REF!</v>
      </c>
      <c r="HM3" t="e">
        <f>AND(#REF!,"AAAAAH///9w=")</f>
        <v>#REF!</v>
      </c>
      <c r="HN3" t="e">
        <f>AND(#REF!,"AAAAAH///90=")</f>
        <v>#REF!</v>
      </c>
      <c r="HO3" t="e">
        <f>AND(#REF!,"AAAAAH///94=")</f>
        <v>#REF!</v>
      </c>
      <c r="HP3" t="e">
        <f>AND(#REF!,"AAAAAH///98=")</f>
        <v>#REF!</v>
      </c>
      <c r="HQ3" t="e">
        <f>AND(#REF!,"AAAAAH///+A=")</f>
        <v>#REF!</v>
      </c>
      <c r="HR3" t="e">
        <f>IF(#REF!,"AAAAAH///+E=",0)</f>
        <v>#REF!</v>
      </c>
      <c r="HS3" t="e">
        <f>AND(#REF!,"AAAAAH///+I=")</f>
        <v>#REF!</v>
      </c>
      <c r="HT3" t="e">
        <f>AND(#REF!,"AAAAAH///+M=")</f>
        <v>#REF!</v>
      </c>
      <c r="HU3" t="e">
        <f>AND(#REF!,"AAAAAH///+Q=")</f>
        <v>#REF!</v>
      </c>
      <c r="HV3" t="e">
        <f>AND(#REF!,"AAAAAH///+U=")</f>
        <v>#REF!</v>
      </c>
      <c r="HW3" t="e">
        <f>AND(#REF!,"AAAAAH///+Y=")</f>
        <v>#REF!</v>
      </c>
      <c r="HX3" t="e">
        <f>AND(#REF!,"AAAAAH///+c=")</f>
        <v>#REF!</v>
      </c>
      <c r="HY3" t="e">
        <f>AND(#REF!,"AAAAAH///+g=")</f>
        <v>#REF!</v>
      </c>
      <c r="HZ3" t="e">
        <f>AND(#REF!,"AAAAAH///+k=")</f>
        <v>#REF!</v>
      </c>
      <c r="IA3" t="e">
        <f>AND(#REF!,"AAAAAH///+o=")</f>
        <v>#REF!</v>
      </c>
      <c r="IB3" t="e">
        <f>AND(#REF!,"AAAAAH///+s=")</f>
        <v>#REF!</v>
      </c>
      <c r="IC3" t="e">
        <f>IF(#REF!,"AAAAAH///+w=",0)</f>
        <v>#REF!</v>
      </c>
      <c r="ID3" t="e">
        <f>AND(#REF!,"AAAAAH///+0=")</f>
        <v>#REF!</v>
      </c>
      <c r="IE3" t="e">
        <f>AND(#REF!,"AAAAAH///+4=")</f>
        <v>#REF!</v>
      </c>
      <c r="IF3" t="e">
        <f>AND(#REF!,"AAAAAH///+8=")</f>
        <v>#REF!</v>
      </c>
      <c r="IG3" t="e">
        <f>AND(#REF!,"AAAAAH////A=")</f>
        <v>#REF!</v>
      </c>
      <c r="IH3" t="e">
        <f>AND(#REF!,"AAAAAH////E=")</f>
        <v>#REF!</v>
      </c>
      <c r="II3" t="e">
        <f>AND(#REF!,"AAAAAH////I=")</f>
        <v>#REF!</v>
      </c>
      <c r="IJ3" t="e">
        <f>AND(#REF!,"AAAAAH////M=")</f>
        <v>#REF!</v>
      </c>
      <c r="IK3" t="e">
        <f>AND(#REF!,"AAAAAH////Q=")</f>
        <v>#REF!</v>
      </c>
      <c r="IL3" t="e">
        <f>AND(#REF!,"AAAAAH////U=")</f>
        <v>#REF!</v>
      </c>
      <c r="IM3" t="e">
        <f>AND(#REF!,"AAAAAH////Y=")</f>
        <v>#REF!</v>
      </c>
      <c r="IN3" t="e">
        <f>IF(#REF!,"AAAAAH////c=",0)</f>
        <v>#REF!</v>
      </c>
      <c r="IO3" t="e">
        <f>AND(#REF!,"AAAAAH////g=")</f>
        <v>#REF!</v>
      </c>
      <c r="IP3" t="e">
        <f>AND(#REF!,"AAAAAH////k=")</f>
        <v>#REF!</v>
      </c>
      <c r="IQ3" t="e">
        <f>AND(#REF!,"AAAAAH////o=")</f>
        <v>#REF!</v>
      </c>
      <c r="IR3" t="e">
        <f>AND(#REF!,"AAAAAH////s=")</f>
        <v>#REF!</v>
      </c>
      <c r="IS3" t="e">
        <f>AND(#REF!,"AAAAAH////w=")</f>
        <v>#REF!</v>
      </c>
      <c r="IT3" t="e">
        <f>AND(#REF!,"AAAAAH////0=")</f>
        <v>#REF!</v>
      </c>
      <c r="IU3" t="e">
        <f>AND(#REF!,"AAAAAH////4=")</f>
        <v>#REF!</v>
      </c>
      <c r="IV3" t="e">
        <f>AND(#REF!,"AAAAAH////8=")</f>
        <v>#REF!</v>
      </c>
    </row>
    <row r="4" spans="1:256">
      <c r="A4" t="e">
        <f>AND(#REF!,"AAAAAE9+1wA=")</f>
        <v>#REF!</v>
      </c>
      <c r="B4" t="e">
        <f>AND(#REF!,"AAAAAE9+1wE=")</f>
        <v>#REF!</v>
      </c>
      <c r="C4" t="e">
        <f>IF(#REF!,"AAAAAE9+1wI=",0)</f>
        <v>#REF!</v>
      </c>
      <c r="D4" t="e">
        <f>AND(#REF!,"AAAAAE9+1wM=")</f>
        <v>#REF!</v>
      </c>
      <c r="E4" t="e">
        <f>AND(#REF!,"AAAAAE9+1wQ=")</f>
        <v>#REF!</v>
      </c>
      <c r="F4" t="e">
        <f>AND(#REF!,"AAAAAE9+1wU=")</f>
        <v>#REF!</v>
      </c>
      <c r="G4" t="e">
        <f>AND(#REF!,"AAAAAE9+1wY=")</f>
        <v>#REF!</v>
      </c>
      <c r="H4" t="e">
        <f>AND(#REF!,"AAAAAE9+1wc=")</f>
        <v>#REF!</v>
      </c>
      <c r="I4" t="e">
        <f>AND(#REF!,"AAAAAE9+1wg=")</f>
        <v>#REF!</v>
      </c>
      <c r="J4" t="e">
        <f>AND(#REF!,"AAAAAE9+1wk=")</f>
        <v>#REF!</v>
      </c>
      <c r="K4" t="e">
        <f>AND(#REF!,"AAAAAE9+1wo=")</f>
        <v>#REF!</v>
      </c>
      <c r="L4" t="e">
        <f>AND(#REF!,"AAAAAE9+1ws=")</f>
        <v>#REF!</v>
      </c>
      <c r="M4" t="e">
        <f>AND(#REF!,"AAAAAE9+1ww=")</f>
        <v>#REF!</v>
      </c>
      <c r="N4" t="e">
        <f>IF(#REF!,"AAAAAE9+1w0=",0)</f>
        <v>#REF!</v>
      </c>
      <c r="O4" t="e">
        <f>AND(#REF!,"AAAAAE9+1w4=")</f>
        <v>#REF!</v>
      </c>
      <c r="P4" t="e">
        <f>AND(#REF!,"AAAAAE9+1w8=")</f>
        <v>#REF!</v>
      </c>
      <c r="Q4" t="e">
        <f>AND(#REF!,"AAAAAE9+1xA=")</f>
        <v>#REF!</v>
      </c>
      <c r="R4" t="e">
        <f>AND(#REF!,"AAAAAE9+1xE=")</f>
        <v>#REF!</v>
      </c>
      <c r="S4" t="e">
        <f>AND(#REF!,"AAAAAE9+1xI=")</f>
        <v>#REF!</v>
      </c>
      <c r="T4" t="e">
        <f>AND(#REF!,"AAAAAE9+1xM=")</f>
        <v>#REF!</v>
      </c>
      <c r="U4" t="e">
        <f>AND(#REF!,"AAAAAE9+1xQ=")</f>
        <v>#REF!</v>
      </c>
      <c r="V4" t="e">
        <f>AND(#REF!,"AAAAAE9+1xU=")</f>
        <v>#REF!</v>
      </c>
      <c r="W4" t="e">
        <f>AND(#REF!,"AAAAAE9+1xY=")</f>
        <v>#REF!</v>
      </c>
      <c r="X4" t="e">
        <f>AND(#REF!,"AAAAAE9+1xc=")</f>
        <v>#REF!</v>
      </c>
      <c r="Y4" t="e">
        <f>IF(#REF!,"AAAAAE9+1xg=",0)</f>
        <v>#REF!</v>
      </c>
      <c r="Z4" t="e">
        <f>AND(#REF!,"AAAAAE9+1xk=")</f>
        <v>#REF!</v>
      </c>
      <c r="AA4" t="e">
        <f>AND(#REF!,"AAAAAE9+1xo=")</f>
        <v>#REF!</v>
      </c>
      <c r="AB4" t="e">
        <f>AND(#REF!,"AAAAAE9+1xs=")</f>
        <v>#REF!</v>
      </c>
      <c r="AC4" t="e">
        <f>AND(#REF!,"AAAAAE9+1xw=")</f>
        <v>#REF!</v>
      </c>
      <c r="AD4" t="e">
        <f>AND(#REF!,"AAAAAE9+1x0=")</f>
        <v>#REF!</v>
      </c>
      <c r="AE4" t="e">
        <f>AND(#REF!,"AAAAAE9+1x4=")</f>
        <v>#REF!</v>
      </c>
      <c r="AF4" t="e">
        <f>AND(#REF!,"AAAAAE9+1x8=")</f>
        <v>#REF!</v>
      </c>
      <c r="AG4" t="e">
        <f>AND(#REF!,"AAAAAE9+1yA=")</f>
        <v>#REF!</v>
      </c>
      <c r="AH4" t="e">
        <f>AND(#REF!,"AAAAAE9+1yE=")</f>
        <v>#REF!</v>
      </c>
      <c r="AI4" t="e">
        <f>AND(#REF!,"AAAAAE9+1yI=")</f>
        <v>#REF!</v>
      </c>
      <c r="AJ4" t="e">
        <f>IF(#REF!,"AAAAAE9+1yM=",0)</f>
        <v>#REF!</v>
      </c>
      <c r="AK4" t="e">
        <f>AND(#REF!,"AAAAAE9+1yQ=")</f>
        <v>#REF!</v>
      </c>
      <c r="AL4" t="e">
        <f>AND(#REF!,"AAAAAE9+1yU=")</f>
        <v>#REF!</v>
      </c>
      <c r="AM4" t="e">
        <f>AND(#REF!,"AAAAAE9+1yY=")</f>
        <v>#REF!</v>
      </c>
      <c r="AN4" t="e">
        <f>AND(#REF!,"AAAAAE9+1yc=")</f>
        <v>#REF!</v>
      </c>
      <c r="AO4" t="e">
        <f>AND(#REF!,"AAAAAE9+1yg=")</f>
        <v>#REF!</v>
      </c>
      <c r="AP4" t="e">
        <f>AND(#REF!,"AAAAAE9+1yk=")</f>
        <v>#REF!</v>
      </c>
      <c r="AQ4" t="e">
        <f>AND(#REF!,"AAAAAE9+1yo=")</f>
        <v>#REF!</v>
      </c>
      <c r="AR4" t="e">
        <f>AND(#REF!,"AAAAAE9+1ys=")</f>
        <v>#REF!</v>
      </c>
      <c r="AS4" t="e">
        <f>AND(#REF!,"AAAAAE9+1yw=")</f>
        <v>#REF!</v>
      </c>
      <c r="AT4" t="e">
        <f>AND(#REF!,"AAAAAE9+1y0=")</f>
        <v>#REF!</v>
      </c>
      <c r="AU4" t="e">
        <f>IF(#REF!,"AAAAAE9+1y4=",0)</f>
        <v>#REF!</v>
      </c>
      <c r="AV4" t="e">
        <f>AND(#REF!,"AAAAAE9+1y8=")</f>
        <v>#REF!</v>
      </c>
      <c r="AW4" t="e">
        <f>AND(#REF!,"AAAAAE9+1zA=")</f>
        <v>#REF!</v>
      </c>
      <c r="AX4" t="e">
        <f>AND(#REF!,"AAAAAE9+1zE=")</f>
        <v>#REF!</v>
      </c>
      <c r="AY4" t="e">
        <f>AND(#REF!,"AAAAAE9+1zI=")</f>
        <v>#REF!</v>
      </c>
      <c r="AZ4" t="e">
        <f>AND(#REF!,"AAAAAE9+1zM=")</f>
        <v>#REF!</v>
      </c>
      <c r="BA4" t="e">
        <f>AND(#REF!,"AAAAAE9+1zQ=")</f>
        <v>#REF!</v>
      </c>
      <c r="BB4" t="e">
        <f>AND(#REF!,"AAAAAE9+1zU=")</f>
        <v>#REF!</v>
      </c>
      <c r="BC4" t="e">
        <f>AND(#REF!,"AAAAAE9+1zY=")</f>
        <v>#REF!</v>
      </c>
      <c r="BD4" t="e">
        <f>AND(#REF!,"AAAAAE9+1zc=")</f>
        <v>#REF!</v>
      </c>
      <c r="BE4" t="e">
        <f>AND(#REF!,"AAAAAE9+1zg=")</f>
        <v>#REF!</v>
      </c>
      <c r="BF4" t="e">
        <f>IF(#REF!,"AAAAAE9+1zk=",0)</f>
        <v>#REF!</v>
      </c>
      <c r="BG4" t="e">
        <f>IF(#REF!,"AAAAAE9+1zo=",0)</f>
        <v>#REF!</v>
      </c>
      <c r="BH4" t="e">
        <f>IF(#REF!,"AAAAAE9+1zs=",0)</f>
        <v>#REF!</v>
      </c>
      <c r="BI4" t="e">
        <f>IF(#REF!,"AAAAAE9+1zw=",0)</f>
        <v>#REF!</v>
      </c>
      <c r="BJ4" t="e">
        <f>IF(#REF!,"AAAAAE9+1z0=",0)</f>
        <v>#REF!</v>
      </c>
      <c r="BK4" t="e">
        <f>IF(#REF!,"AAAAAE9+1z4=",0)</f>
        <v>#REF!</v>
      </c>
      <c r="BL4" t="e">
        <f>IF(#REF!,"AAAAAE9+1z8=",0)</f>
        <v>#REF!</v>
      </c>
      <c r="BM4" t="e">
        <f>IF(#REF!,"AAAAAE9+10A=",0)</f>
        <v>#REF!</v>
      </c>
      <c r="BN4" t="e">
        <f>IF(#REF!,"AAAAAE9+10E=",0)</f>
        <v>#REF!</v>
      </c>
      <c r="BO4" t="e">
        <f>IF(#REF!,"AAAAAE9+10I=",0)</f>
        <v>#REF!</v>
      </c>
      <c r="BP4" t="e">
        <f>IF(#REF!,"AAAAAE9+10M=",0)</f>
        <v>#REF!</v>
      </c>
      <c r="BQ4" t="e">
        <f>AND(#REF!,"AAAAAE9+10Q=")</f>
        <v>#REF!</v>
      </c>
      <c r="BR4" t="e">
        <f>AND(#REF!,"AAAAAE9+10U=")</f>
        <v>#REF!</v>
      </c>
      <c r="BS4" t="e">
        <f>AND(#REF!,"AAAAAE9+10Y=")</f>
        <v>#REF!</v>
      </c>
      <c r="BT4" t="e">
        <f>IF(#REF!,"AAAAAE9+10c=",0)</f>
        <v>#REF!</v>
      </c>
      <c r="BU4" t="e">
        <f>AND(#REF!,"AAAAAE9+10g=")</f>
        <v>#REF!</v>
      </c>
      <c r="BV4" t="e">
        <f>AND(#REF!,"AAAAAE9+10k=")</f>
        <v>#REF!</v>
      </c>
      <c r="BW4" t="e">
        <f>AND(#REF!,"AAAAAE9+10o=")</f>
        <v>#REF!</v>
      </c>
      <c r="BX4" t="e">
        <f>IF(#REF!,"AAAAAE9+10s=",0)</f>
        <v>#REF!</v>
      </c>
      <c r="BY4" t="e">
        <f>AND(#REF!,"AAAAAE9+10w=")</f>
        <v>#REF!</v>
      </c>
      <c r="BZ4" t="e">
        <f>AND(#REF!,"AAAAAE9+100=")</f>
        <v>#REF!</v>
      </c>
      <c r="CA4" t="e">
        <f>AND(#REF!,"AAAAAE9+104=")</f>
        <v>#REF!</v>
      </c>
      <c r="CB4" t="e">
        <f>IF(#REF!,"AAAAAE9+108=",0)</f>
        <v>#REF!</v>
      </c>
      <c r="CC4" t="e">
        <f>AND(#REF!,"AAAAAE9+11A=")</f>
        <v>#REF!</v>
      </c>
      <c r="CD4" t="e">
        <f>IF(#REF!,"AAAAAE9+11E=",0)</f>
        <v>#REF!</v>
      </c>
      <c r="CE4" t="e">
        <f>AND(#REF!,"AAAAAE9+11I=")</f>
        <v>#REF!</v>
      </c>
      <c r="CF4" t="e">
        <f>IF(#REF!,"AAAAAE9+11M=",0)</f>
        <v>#REF!</v>
      </c>
      <c r="CG4" t="e">
        <f>AND(#REF!,"AAAAAE9+11Q=")</f>
        <v>#REF!</v>
      </c>
      <c r="CH4" t="e">
        <f>IF(#REF!,"AAAAAE9+11U=",0)</f>
        <v>#REF!</v>
      </c>
      <c r="CI4" t="e">
        <f>AND(#REF!,"AAAAAE9+11Y=")</f>
        <v>#REF!</v>
      </c>
      <c r="CJ4" t="e">
        <f>IF(#REF!,"AAAAAE9+11c=",0)</f>
        <v>#REF!</v>
      </c>
      <c r="CK4" t="e">
        <f>AND(#REF!,"AAAAAE9+11g=")</f>
        <v>#REF!</v>
      </c>
      <c r="CL4" t="e">
        <f>IF(#REF!,"AAAAAE9+11k=",0)</f>
        <v>#REF!</v>
      </c>
      <c r="CM4" t="e">
        <f>AND(#REF!,"AAAAAE9+11o=")</f>
        <v>#REF!</v>
      </c>
      <c r="CN4" t="e">
        <f>IF(#REF!,"AAAAAE9+11s=",0)</f>
        <v>#REF!</v>
      </c>
      <c r="CO4" t="e">
        <f>AND(#REF!,"AAAAAE9+11w=")</f>
        <v>#REF!</v>
      </c>
      <c r="CP4" t="e">
        <f>IF(#REF!,"AAAAAE9+110=",0)</f>
        <v>#REF!</v>
      </c>
      <c r="CQ4" t="e">
        <f>AND(#REF!,"AAAAAE9+114=")</f>
        <v>#REF!</v>
      </c>
      <c r="CR4" t="e">
        <f>IF(#REF!,"AAAAAE9+118=",0)</f>
        <v>#REF!</v>
      </c>
      <c r="CS4" t="e">
        <f>AND(#REF!,"AAAAAE9+12A=")</f>
        <v>#REF!</v>
      </c>
      <c r="CT4" t="e">
        <f>IF(#REF!,"AAAAAE9+12E=",0)</f>
        <v>#REF!</v>
      </c>
      <c r="CU4" t="e">
        <f>AND(#REF!,"AAAAAE9+12I=")</f>
        <v>#REF!</v>
      </c>
      <c r="CV4" t="e">
        <f>IF(#REF!,"AAAAAE9+12M=",0)</f>
        <v>#REF!</v>
      </c>
      <c r="CW4" t="e">
        <f>AND(#REF!,"AAAAAE9+12Q=")</f>
        <v>#REF!</v>
      </c>
      <c r="CX4" t="e">
        <f>IF(#REF!,"AAAAAE9+12U=",0)</f>
        <v>#REF!</v>
      </c>
      <c r="CY4" t="e">
        <f>IF(#REF!,"AAAAAE9+12Y=",0)</f>
        <v>#REF!</v>
      </c>
      <c r="CZ4" t="e">
        <f>IF(#REF!,"AAAAAE9+12c=",0)</f>
        <v>#REF!</v>
      </c>
      <c r="DA4" t="e">
        <f>IF(#REF!,"AAAAAE9+12g=",0)</f>
        <v>#REF!</v>
      </c>
      <c r="DB4" t="e">
        <f>AND(#REF!,"AAAAAE9+12k=")</f>
        <v>#REF!</v>
      </c>
      <c r="DC4" t="e">
        <f>AND(#REF!,"AAAAAE9+12o=")</f>
        <v>#REF!</v>
      </c>
      <c r="DD4" t="e">
        <f>AND(#REF!,"AAAAAE9+12s=")</f>
        <v>#REF!</v>
      </c>
      <c r="DE4" t="e">
        <f>AND(#REF!,"AAAAAE9+12w=")</f>
        <v>#REF!</v>
      </c>
      <c r="DF4" t="e">
        <f>IF(#REF!,"AAAAAE9+120=",0)</f>
        <v>#REF!</v>
      </c>
      <c r="DG4" t="e">
        <f>AND(#REF!,"AAAAAE9+124=")</f>
        <v>#REF!</v>
      </c>
      <c r="DH4" t="e">
        <f>AND(#REF!,"AAAAAE9+128=")</f>
        <v>#REF!</v>
      </c>
      <c r="DI4" t="e">
        <f>AND(#REF!,"AAAAAE9+13A=")</f>
        <v>#REF!</v>
      </c>
      <c r="DJ4" t="e">
        <f>AND(#REF!,"AAAAAE9+13E=")</f>
        <v>#REF!</v>
      </c>
      <c r="DK4" t="e">
        <f>IF(#REF!,"AAAAAE9+13I=",0)</f>
        <v>#REF!</v>
      </c>
      <c r="DL4" t="e">
        <f>AND(#REF!,"AAAAAE9+13M=")</f>
        <v>#REF!</v>
      </c>
      <c r="DM4" t="e">
        <f>AND(#REF!,"AAAAAE9+13Q=")</f>
        <v>#REF!</v>
      </c>
      <c r="DN4" t="e">
        <f>AND(#REF!,"AAAAAE9+13U=")</f>
        <v>#REF!</v>
      </c>
      <c r="DO4" t="e">
        <f>AND(#REF!,"AAAAAE9+13Y=")</f>
        <v>#REF!</v>
      </c>
      <c r="DP4" t="e">
        <f>IF(#REF!,"AAAAAE9+13c=",0)</f>
        <v>#REF!</v>
      </c>
      <c r="DQ4" t="e">
        <f>AND(#REF!,"AAAAAE9+13g=")</f>
        <v>#REF!</v>
      </c>
      <c r="DR4" t="e">
        <f>AND(#REF!,"AAAAAE9+13k=")</f>
        <v>#REF!</v>
      </c>
      <c r="DS4" t="e">
        <f>AND(#REF!,"AAAAAE9+13o=")</f>
        <v>#REF!</v>
      </c>
      <c r="DT4" t="e">
        <f>AND(#REF!,"AAAAAE9+13s=")</f>
        <v>#REF!</v>
      </c>
      <c r="DU4" t="e">
        <f>IF(#REF!,"AAAAAE9+13w=",0)</f>
        <v>#REF!</v>
      </c>
      <c r="DV4" t="e">
        <f>AND(#REF!,"AAAAAE9+130=")</f>
        <v>#REF!</v>
      </c>
      <c r="DW4" t="e">
        <f>AND(#REF!,"AAAAAE9+134=")</f>
        <v>#REF!</v>
      </c>
      <c r="DX4" t="e">
        <f>AND(#REF!,"AAAAAE9+138=")</f>
        <v>#REF!</v>
      </c>
      <c r="DY4" t="e">
        <f>AND(#REF!,"AAAAAE9+14A=")</f>
        <v>#REF!</v>
      </c>
      <c r="DZ4" t="e">
        <f>IF(#REF!,"AAAAAE9+14E=",0)</f>
        <v>#REF!</v>
      </c>
      <c r="EA4" t="e">
        <f>AND(#REF!,"AAAAAE9+14I=")</f>
        <v>#REF!</v>
      </c>
      <c r="EB4" t="e">
        <f>AND(#REF!,"AAAAAE9+14M=")</f>
        <v>#REF!</v>
      </c>
      <c r="EC4" t="e">
        <f>AND(#REF!,"AAAAAE9+14Q=")</f>
        <v>#REF!</v>
      </c>
      <c r="ED4" t="e">
        <f>AND(#REF!,"AAAAAE9+14U=")</f>
        <v>#REF!</v>
      </c>
      <c r="EE4" t="e">
        <f>IF(#REF!,"AAAAAE9+14Y=",0)</f>
        <v>#REF!</v>
      </c>
      <c r="EF4" t="e">
        <f>AND(#REF!,"AAAAAE9+14c=")</f>
        <v>#REF!</v>
      </c>
      <c r="EG4" t="e">
        <f>AND(#REF!,"AAAAAE9+14g=")</f>
        <v>#REF!</v>
      </c>
      <c r="EH4" t="e">
        <f>AND(#REF!,"AAAAAE9+14k=")</f>
        <v>#REF!</v>
      </c>
      <c r="EI4" t="e">
        <f>AND(#REF!,"AAAAAE9+14o=")</f>
        <v>#REF!</v>
      </c>
      <c r="EJ4" t="e">
        <f>IF(#REF!,"AAAAAE9+14s=",0)</f>
        <v>#REF!</v>
      </c>
      <c r="EK4" t="e">
        <f>AND(#REF!,"AAAAAE9+14w=")</f>
        <v>#REF!</v>
      </c>
      <c r="EL4" t="e">
        <f>AND(#REF!,"AAAAAE9+140=")</f>
        <v>#REF!</v>
      </c>
      <c r="EM4" t="e">
        <f>AND(#REF!,"AAAAAE9+144=")</f>
        <v>#REF!</v>
      </c>
      <c r="EN4" t="e">
        <f>AND(#REF!,"AAAAAE9+148=")</f>
        <v>#REF!</v>
      </c>
      <c r="EO4" t="e">
        <f>IF(#REF!,"AAAAAE9+15A=",0)</f>
        <v>#REF!</v>
      </c>
      <c r="EP4" t="e">
        <f>AND(#REF!,"AAAAAE9+15E=")</f>
        <v>#REF!</v>
      </c>
      <c r="EQ4" t="e">
        <f>AND(#REF!,"AAAAAE9+15I=")</f>
        <v>#REF!</v>
      </c>
      <c r="ER4" t="e">
        <f>AND(#REF!,"AAAAAE9+15M=")</f>
        <v>#REF!</v>
      </c>
      <c r="ES4" t="e">
        <f>AND(#REF!,"AAAAAE9+15Q=")</f>
        <v>#REF!</v>
      </c>
      <c r="ET4" t="e">
        <f>IF(#REF!,"AAAAAE9+15U=",0)</f>
        <v>#REF!</v>
      </c>
      <c r="EU4" t="e">
        <f>AND(#REF!,"AAAAAE9+15Y=")</f>
        <v>#REF!</v>
      </c>
      <c r="EV4" t="e">
        <f>AND(#REF!,"AAAAAE9+15c=")</f>
        <v>#REF!</v>
      </c>
      <c r="EW4" t="e">
        <f>AND(#REF!,"AAAAAE9+15g=")</f>
        <v>#REF!</v>
      </c>
      <c r="EX4" t="e">
        <f>AND(#REF!,"AAAAAE9+15k=")</f>
        <v>#REF!</v>
      </c>
      <c r="EY4" t="e">
        <f>IF(#REF!,"AAAAAE9+15o=",0)</f>
        <v>#REF!</v>
      </c>
      <c r="EZ4" t="e">
        <f>AND(#REF!,"AAAAAE9+15s=")</f>
        <v>#REF!</v>
      </c>
      <c r="FA4" t="e">
        <f>AND(#REF!,"AAAAAE9+15w=")</f>
        <v>#REF!</v>
      </c>
      <c r="FB4" t="e">
        <f>AND(#REF!,"AAAAAE9+150=")</f>
        <v>#REF!</v>
      </c>
      <c r="FC4" t="e">
        <f>AND(#REF!,"AAAAAE9+154=")</f>
        <v>#REF!</v>
      </c>
      <c r="FD4" t="e">
        <f>IF(#REF!,"AAAAAE9+158=",0)</f>
        <v>#REF!</v>
      </c>
      <c r="FE4" t="e">
        <f>AND(#REF!,"AAAAAE9+16A=")</f>
        <v>#REF!</v>
      </c>
      <c r="FF4" t="e">
        <f>AND(#REF!,"AAAAAE9+16E=")</f>
        <v>#REF!</v>
      </c>
      <c r="FG4" t="e">
        <f>AND(#REF!,"AAAAAE9+16I=")</f>
        <v>#REF!</v>
      </c>
      <c r="FH4" t="e">
        <f>AND(#REF!,"AAAAAE9+16M=")</f>
        <v>#REF!</v>
      </c>
      <c r="FI4" t="e">
        <f>IF(#REF!,"AAAAAE9+16Q=",0)</f>
        <v>#REF!</v>
      </c>
      <c r="FJ4" t="e">
        <f>IF(#REF!,"AAAAAE9+16U=",0)</f>
        <v>#REF!</v>
      </c>
      <c r="FK4" t="e">
        <f>IF(#REF!,"AAAAAE9+16Y=",0)</f>
        <v>#REF!</v>
      </c>
      <c r="FL4" t="e">
        <f>IF(#REF!,"AAAAAE9+16c=",0)</f>
        <v>#REF!</v>
      </c>
      <c r="FM4" t="e">
        <f>IF(#REF!,"AAAAAE9+16g=",0)</f>
        <v>#REF!</v>
      </c>
      <c r="FN4" t="e">
        <f>AND(#REF!,"AAAAAE9+16k=")</f>
        <v>#REF!</v>
      </c>
      <c r="FO4" t="e">
        <f>AND(#REF!,"AAAAAE9+16o=")</f>
        <v>#REF!</v>
      </c>
      <c r="FP4" t="e">
        <f>AND(#REF!,"AAAAAE9+16s=")</f>
        <v>#REF!</v>
      </c>
      <c r="FQ4" t="e">
        <f>AND(#REF!,"AAAAAE9+16w=")</f>
        <v>#REF!</v>
      </c>
      <c r="FR4" t="e">
        <f>AND(#REF!,"AAAAAE9+160=")</f>
        <v>#REF!</v>
      </c>
      <c r="FS4" t="e">
        <f>IF(#REF!,"AAAAAE9+164=",0)</f>
        <v>#REF!</v>
      </c>
      <c r="FT4" t="e">
        <f>AND(#REF!,"AAAAAE9+168=")</f>
        <v>#REF!</v>
      </c>
      <c r="FU4" t="e">
        <f>AND(#REF!,"AAAAAE9+17A=")</f>
        <v>#REF!</v>
      </c>
      <c r="FV4" t="e">
        <f>AND(#REF!,"AAAAAE9+17E=")</f>
        <v>#REF!</v>
      </c>
      <c r="FW4" t="e">
        <f>AND(#REF!,"AAAAAE9+17I=")</f>
        <v>#REF!</v>
      </c>
      <c r="FX4" t="e">
        <f>AND(#REF!,"AAAAAE9+17M=")</f>
        <v>#REF!</v>
      </c>
      <c r="FY4" t="e">
        <f>IF(#REF!,"AAAAAE9+17Q=",0)</f>
        <v>#REF!</v>
      </c>
      <c r="FZ4" t="e">
        <f>AND(#REF!,"AAAAAE9+17U=")</f>
        <v>#REF!</v>
      </c>
      <c r="GA4" t="e">
        <f>AND(#REF!,"AAAAAE9+17Y=")</f>
        <v>#REF!</v>
      </c>
      <c r="GB4" t="e">
        <f>AND(#REF!,"AAAAAE9+17c=")</f>
        <v>#REF!</v>
      </c>
      <c r="GC4" t="e">
        <f>AND(#REF!,"AAAAAE9+17g=")</f>
        <v>#REF!</v>
      </c>
      <c r="GD4" t="e">
        <f>AND(#REF!,"AAAAAE9+17k=")</f>
        <v>#REF!</v>
      </c>
      <c r="GE4" t="e">
        <f>IF(#REF!,"AAAAAE9+17o=",0)</f>
        <v>#REF!</v>
      </c>
      <c r="GF4" t="e">
        <f>AND(#REF!,"AAAAAE9+17s=")</f>
        <v>#REF!</v>
      </c>
      <c r="GG4" t="e">
        <f>IF(#REF!,"AAAAAE9+17w=",0)</f>
        <v>#REF!</v>
      </c>
      <c r="GH4" t="e">
        <f>AND(#REF!,"AAAAAE9+170=")</f>
        <v>#REF!</v>
      </c>
      <c r="GI4" t="e">
        <f>IF(#REF!,"AAAAAE9+174=",0)</f>
        <v>#REF!</v>
      </c>
      <c r="GJ4" t="e">
        <f>AND(#REF!,"AAAAAE9+178=")</f>
        <v>#REF!</v>
      </c>
      <c r="GK4" t="e">
        <f>IF(#REF!,"AAAAAE9+18A=",0)</f>
        <v>#REF!</v>
      </c>
      <c r="GL4" t="e">
        <f>AND(#REF!,"AAAAAE9+18E=")</f>
        <v>#REF!</v>
      </c>
      <c r="GM4" t="e">
        <f>IF(#REF!,"AAAAAE9+18I=",0)</f>
        <v>#REF!</v>
      </c>
      <c r="GN4" t="e">
        <f>AND(#REF!,"AAAAAE9+18M=")</f>
        <v>#REF!</v>
      </c>
      <c r="GO4" t="e">
        <f>IF(#REF!,"AAAAAE9+18Q=",0)</f>
        <v>#REF!</v>
      </c>
      <c r="GP4" t="e">
        <f>IF(#REF!,"AAAAAE9+18U=",0)</f>
        <v>#REF!</v>
      </c>
      <c r="GQ4" t="e">
        <f>IF(#REF!,"AAAAAE9+18Y=",0)</f>
        <v>#REF!</v>
      </c>
      <c r="GR4" t="e">
        <f>IF(#REF!,"AAAAAE9+18c=",0)</f>
        <v>#REF!</v>
      </c>
      <c r="GS4" t="e">
        <f>IF(#REF!,"AAAAAE9+18g=",0)</f>
        <v>#REF!</v>
      </c>
      <c r="GT4" t="e">
        <f>IF(#REF!,"AAAAAE9+18k=",0)</f>
        <v>#REF!</v>
      </c>
      <c r="GU4" t="e">
        <f>AND(#REF!,"AAAAAE9+18o=")</f>
        <v>#REF!</v>
      </c>
      <c r="GV4" t="e">
        <f>AND(#REF!,"AAAAAE9+18s=")</f>
        <v>#REF!</v>
      </c>
      <c r="GW4" t="e">
        <f>AND(#REF!,"AAAAAE9+18w=")</f>
        <v>#REF!</v>
      </c>
      <c r="GX4" t="e">
        <f>AND(#REF!,"AAAAAE9+180=")</f>
        <v>#REF!</v>
      </c>
      <c r="GY4" t="e">
        <f>IF(#REF!,"AAAAAE9+184=",0)</f>
        <v>#REF!</v>
      </c>
      <c r="GZ4" t="e">
        <f>AND(#REF!,"AAAAAE9+188=")</f>
        <v>#REF!</v>
      </c>
      <c r="HA4" t="e">
        <f>AND(#REF!,"AAAAAE9+19A=")</f>
        <v>#REF!</v>
      </c>
      <c r="HB4" t="e">
        <f>AND(#REF!,"AAAAAE9+19E=")</f>
        <v>#REF!</v>
      </c>
      <c r="HC4" t="e">
        <f>AND(#REF!,"AAAAAE9+19I=")</f>
        <v>#REF!</v>
      </c>
      <c r="HD4" t="e">
        <f>IF(#REF!,"AAAAAE9+19M=",0)</f>
        <v>#REF!</v>
      </c>
      <c r="HE4" t="e">
        <f>AND(#REF!,"AAAAAE9+19Q=")</f>
        <v>#REF!</v>
      </c>
      <c r="HF4" t="e">
        <f>AND(#REF!,"AAAAAE9+19U=")</f>
        <v>#REF!</v>
      </c>
      <c r="HG4" t="e">
        <f>AND(#REF!,"AAAAAE9+19Y=")</f>
        <v>#REF!</v>
      </c>
      <c r="HH4" t="e">
        <f>AND(#REF!,"AAAAAE9+19c=")</f>
        <v>#REF!</v>
      </c>
      <c r="HI4" t="e">
        <f>IF(#REF!,"AAAAAE9+19g=",0)</f>
        <v>#REF!</v>
      </c>
      <c r="HJ4" t="e">
        <f>AND(#REF!,"AAAAAE9+19k=")</f>
        <v>#REF!</v>
      </c>
      <c r="HK4" t="e">
        <f>AND(#REF!,"AAAAAE9+19o=")</f>
        <v>#REF!</v>
      </c>
      <c r="HL4" t="e">
        <f>AND(#REF!,"AAAAAE9+19s=")</f>
        <v>#REF!</v>
      </c>
      <c r="HM4" t="e">
        <f>AND(#REF!,"AAAAAE9+19w=")</f>
        <v>#REF!</v>
      </c>
      <c r="HN4" t="e">
        <f>IF(#REF!,"AAAAAE9+190=",0)</f>
        <v>#REF!</v>
      </c>
      <c r="HO4" t="e">
        <f>AND(#REF!,"AAAAAE9+194=")</f>
        <v>#REF!</v>
      </c>
      <c r="HP4" t="e">
        <f>AND(#REF!,"AAAAAE9+198=")</f>
        <v>#REF!</v>
      </c>
      <c r="HQ4" t="e">
        <f>AND(#REF!,"AAAAAE9+1+A=")</f>
        <v>#REF!</v>
      </c>
      <c r="HR4" t="e">
        <f>AND(#REF!,"AAAAAE9+1+E=")</f>
        <v>#REF!</v>
      </c>
      <c r="HS4" t="e">
        <f>IF(#REF!,"AAAAAE9+1+I=",0)</f>
        <v>#REF!</v>
      </c>
      <c r="HT4" t="e">
        <f>AND(#REF!,"AAAAAE9+1+M=")</f>
        <v>#REF!</v>
      </c>
      <c r="HU4" t="e">
        <f>AND(#REF!,"AAAAAE9+1+Q=")</f>
        <v>#REF!</v>
      </c>
      <c r="HV4" t="e">
        <f>AND(#REF!,"AAAAAE9+1+U=")</f>
        <v>#REF!</v>
      </c>
      <c r="HW4" t="e">
        <f>AND(#REF!,"AAAAAE9+1+Y=")</f>
        <v>#REF!</v>
      </c>
      <c r="HX4" t="e">
        <f>IF(#REF!,"AAAAAE9+1+c=",0)</f>
        <v>#REF!</v>
      </c>
      <c r="HY4" t="e">
        <f>AND(#REF!,"AAAAAE9+1+g=")</f>
        <v>#REF!</v>
      </c>
      <c r="HZ4" t="e">
        <f>AND(#REF!,"AAAAAE9+1+k=")</f>
        <v>#REF!</v>
      </c>
      <c r="IA4" t="e">
        <f>AND(#REF!,"AAAAAE9+1+o=")</f>
        <v>#REF!</v>
      </c>
      <c r="IB4" t="e">
        <f>AND(#REF!,"AAAAAE9+1+s=")</f>
        <v>#REF!</v>
      </c>
      <c r="IC4" t="e">
        <f>IF(#REF!,"AAAAAE9+1+w=",0)</f>
        <v>#REF!</v>
      </c>
      <c r="ID4" t="e">
        <f>AND(#REF!,"AAAAAE9+1+0=")</f>
        <v>#REF!</v>
      </c>
      <c r="IE4" t="e">
        <f>AND(#REF!,"AAAAAE9+1+4=")</f>
        <v>#REF!</v>
      </c>
      <c r="IF4" t="e">
        <f>AND(#REF!,"AAAAAE9+1+8=")</f>
        <v>#REF!</v>
      </c>
      <c r="IG4" t="e">
        <f>AND(#REF!,"AAAAAE9+1/A=")</f>
        <v>#REF!</v>
      </c>
      <c r="IH4" t="e">
        <f>IF(#REF!,"AAAAAE9+1/E=",0)</f>
        <v>#REF!</v>
      </c>
      <c r="II4" t="e">
        <f>AND(#REF!,"AAAAAE9+1/I=")</f>
        <v>#REF!</v>
      </c>
      <c r="IJ4" t="e">
        <f>AND(#REF!,"AAAAAE9+1/M=")</f>
        <v>#REF!</v>
      </c>
      <c r="IK4" t="e">
        <f>AND(#REF!,"AAAAAE9+1/Q=")</f>
        <v>#REF!</v>
      </c>
      <c r="IL4" t="e">
        <f>AND(#REF!,"AAAAAE9+1/U=")</f>
        <v>#REF!</v>
      </c>
      <c r="IM4" t="e">
        <f>IF(#REF!,"AAAAAE9+1/Y=",0)</f>
        <v>#REF!</v>
      </c>
      <c r="IN4" t="e">
        <f>AND(#REF!,"AAAAAE9+1/c=")</f>
        <v>#REF!</v>
      </c>
      <c r="IO4" t="e">
        <f>AND(#REF!,"AAAAAE9+1/g=")</f>
        <v>#REF!</v>
      </c>
      <c r="IP4" t="e">
        <f>AND(#REF!,"AAAAAE9+1/k=")</f>
        <v>#REF!</v>
      </c>
      <c r="IQ4" t="e">
        <f>AND(#REF!,"AAAAAE9+1/o=")</f>
        <v>#REF!</v>
      </c>
      <c r="IR4" t="e">
        <f>IF(#REF!,"AAAAAE9+1/s=",0)</f>
        <v>#REF!</v>
      </c>
      <c r="IS4" t="e">
        <f>AND(#REF!,"AAAAAE9+1/w=")</f>
        <v>#REF!</v>
      </c>
      <c r="IT4" t="e">
        <f>IF(#REF!,"AAAAAE9+1/0=",0)</f>
        <v>#REF!</v>
      </c>
      <c r="IU4" t="e">
        <f>IF(#REF!,"AAAAAE9+1/4=",0)</f>
        <v>#REF!</v>
      </c>
      <c r="IV4" t="e">
        <f>IF(#REF!,"AAAAAE9+1/8=",0)</f>
        <v>#REF!</v>
      </c>
    </row>
    <row r="5" spans="1:256">
      <c r="A5" t="e">
        <f>IF(#REF!,"AAAAAFt/qwA=",0)</f>
        <v>#REF!</v>
      </c>
      <c r="B5" t="e">
        <f>IF(#REF!,"AAAAAFt/qwE=",0)</f>
        <v>#REF!</v>
      </c>
      <c r="C5" t="e">
        <f>AND(#REF!,"AAAAAFt/qwI=")</f>
        <v>#REF!</v>
      </c>
      <c r="D5" t="e">
        <f>AND(#REF!,"AAAAAFt/qwM=")</f>
        <v>#REF!</v>
      </c>
      <c r="E5" t="e">
        <f>AND(#REF!,"AAAAAFt/qwQ=")</f>
        <v>#REF!</v>
      </c>
      <c r="F5" t="e">
        <f>IF(#REF!,"AAAAAFt/qwU=",0)</f>
        <v>#REF!</v>
      </c>
      <c r="G5" t="e">
        <f>AND(#REF!,"AAAAAFt/qwY=")</f>
        <v>#REF!</v>
      </c>
      <c r="H5" t="e">
        <f>AND(#REF!,"AAAAAFt/qwc=")</f>
        <v>#REF!</v>
      </c>
      <c r="I5" t="e">
        <f>AND(#REF!,"AAAAAFt/qwg=")</f>
        <v>#REF!</v>
      </c>
      <c r="J5" t="e">
        <f>IF(#REF!,"AAAAAFt/qwk=",0)</f>
        <v>#REF!</v>
      </c>
      <c r="K5" t="e">
        <f>AND(#REF!,"AAAAAFt/qwo=")</f>
        <v>#REF!</v>
      </c>
      <c r="L5" t="e">
        <f>AND(#REF!,"AAAAAFt/qws=")</f>
        <v>#REF!</v>
      </c>
      <c r="M5" t="e">
        <f>AND(#REF!,"AAAAAFt/qww=")</f>
        <v>#REF!</v>
      </c>
      <c r="N5" t="e">
        <f>IF(#REF!,"AAAAAFt/qw0=",0)</f>
        <v>#REF!</v>
      </c>
      <c r="O5" t="e">
        <f>AND(#REF!,"AAAAAFt/qw4=")</f>
        <v>#REF!</v>
      </c>
      <c r="P5" t="e">
        <f>AND(#REF!,"AAAAAFt/qw8=")</f>
        <v>#REF!</v>
      </c>
      <c r="Q5" t="e">
        <f>AND(#REF!,"AAAAAFt/qxA=")</f>
        <v>#REF!</v>
      </c>
      <c r="R5" t="e">
        <f>IF(#REF!,"AAAAAFt/qxE=",0)</f>
        <v>#REF!</v>
      </c>
      <c r="S5" t="e">
        <f>AND(#REF!,"AAAAAFt/qxI=")</f>
        <v>#REF!</v>
      </c>
      <c r="T5" t="e">
        <f>AND(#REF!,"AAAAAFt/qxM=")</f>
        <v>#REF!</v>
      </c>
      <c r="U5" t="e">
        <f>AND(#REF!,"AAAAAFt/qxQ=")</f>
        <v>#REF!</v>
      </c>
      <c r="V5" t="e">
        <f>IF(#REF!,"AAAAAFt/qxU=",0)</f>
        <v>#REF!</v>
      </c>
      <c r="W5" t="e">
        <f>AND(#REF!,"AAAAAFt/qxY=")</f>
        <v>#REF!</v>
      </c>
      <c r="X5" t="e">
        <f>AND(#REF!,"AAAAAFt/qxc=")</f>
        <v>#REF!</v>
      </c>
      <c r="Y5" t="e">
        <f>AND(#REF!,"AAAAAFt/qxg=")</f>
        <v>#REF!</v>
      </c>
      <c r="Z5" t="e">
        <f>IF(#REF!,"AAAAAFt/qxk=",0)</f>
        <v>#REF!</v>
      </c>
      <c r="AA5" t="e">
        <f>AND(#REF!,"AAAAAFt/qxo=")</f>
        <v>#REF!</v>
      </c>
      <c r="AB5" t="e">
        <f>AND(#REF!,"AAAAAFt/qxs=")</f>
        <v>#REF!</v>
      </c>
      <c r="AC5" t="e">
        <f>AND(#REF!,"AAAAAFt/qxw=")</f>
        <v>#REF!</v>
      </c>
      <c r="AD5" t="e">
        <f>IF(#REF!,"AAAAAFt/qx0=",0)</f>
        <v>#REF!</v>
      </c>
      <c r="AE5" t="e">
        <f>AND(#REF!,"AAAAAFt/qx4=")</f>
        <v>#REF!</v>
      </c>
      <c r="AF5" t="e">
        <f>AND(#REF!,"AAAAAFt/qx8=")</f>
        <v>#REF!</v>
      </c>
      <c r="AG5" t="e">
        <f>AND(#REF!,"AAAAAFt/qyA=")</f>
        <v>#REF!</v>
      </c>
      <c r="AH5" t="e">
        <f>IF(#REF!,"AAAAAFt/qyE=",0)</f>
        <v>#REF!</v>
      </c>
      <c r="AI5" t="e">
        <f>AND(#REF!,"AAAAAFt/qyI=")</f>
        <v>#REF!</v>
      </c>
      <c r="AJ5" t="e">
        <f>AND(#REF!,"AAAAAFt/qyM=")</f>
        <v>#REF!</v>
      </c>
      <c r="AK5" t="e">
        <f>AND(#REF!,"AAAAAFt/qyQ=")</f>
        <v>#REF!</v>
      </c>
      <c r="AL5" t="e">
        <f>IF(#REF!,"AAAAAFt/qyU=",0)</f>
        <v>#REF!</v>
      </c>
      <c r="AM5" t="e">
        <f>AND(#REF!,"AAAAAFt/qyY=")</f>
        <v>#REF!</v>
      </c>
      <c r="AN5" t="e">
        <f>AND(#REF!,"AAAAAFt/qyc=")</f>
        <v>#REF!</v>
      </c>
      <c r="AO5" t="e">
        <f>AND(#REF!,"AAAAAFt/qyg=")</f>
        <v>#REF!</v>
      </c>
      <c r="AP5" t="e">
        <f>IF(#REF!,"AAAAAFt/qyk=",0)</f>
        <v>#REF!</v>
      </c>
      <c r="AQ5" t="e">
        <f>AND(#REF!,"AAAAAFt/qyo=")</f>
        <v>#REF!</v>
      </c>
      <c r="AR5" t="e">
        <f>AND(#REF!,"AAAAAFt/qys=")</f>
        <v>#REF!</v>
      </c>
      <c r="AS5" t="e">
        <f>AND(#REF!,"AAAAAFt/qyw=")</f>
        <v>#REF!</v>
      </c>
      <c r="AT5" t="e">
        <f>IF(#REF!,"AAAAAFt/qy0=",0)</f>
        <v>#REF!</v>
      </c>
      <c r="AU5" t="e">
        <f>AND(#REF!,"AAAAAFt/qy4=")</f>
        <v>#REF!</v>
      </c>
      <c r="AV5" t="e">
        <f>AND(#REF!,"AAAAAFt/qy8=")</f>
        <v>#REF!</v>
      </c>
      <c r="AW5" t="e">
        <f>AND(#REF!,"AAAAAFt/qzA=")</f>
        <v>#REF!</v>
      </c>
      <c r="AX5" t="e">
        <f>IF(#REF!,"AAAAAFt/qzE=",0)</f>
        <v>#REF!</v>
      </c>
      <c r="AY5" t="e">
        <f>AND(#REF!,"AAAAAFt/qzI=")</f>
        <v>#REF!</v>
      </c>
      <c r="AZ5" t="e">
        <f>AND(#REF!,"AAAAAFt/qzM=")</f>
        <v>#REF!</v>
      </c>
      <c r="BA5" t="e">
        <f>AND(#REF!,"AAAAAFt/qzQ=")</f>
        <v>#REF!</v>
      </c>
      <c r="BB5" t="e">
        <f>IF(#REF!,"AAAAAFt/qzU=",0)</f>
        <v>#REF!</v>
      </c>
      <c r="BC5" t="e">
        <f>AND(#REF!,"AAAAAFt/qzY=")</f>
        <v>#REF!</v>
      </c>
      <c r="BD5" t="e">
        <f>AND(#REF!,"AAAAAFt/qzc=")</f>
        <v>#REF!</v>
      </c>
      <c r="BE5" t="e">
        <f>AND(#REF!,"AAAAAFt/qzg=")</f>
        <v>#REF!</v>
      </c>
      <c r="BF5" t="e">
        <f>IF(#REF!,"AAAAAFt/qzk=",0)</f>
        <v>#REF!</v>
      </c>
      <c r="BG5" t="e">
        <f>AND(#REF!,"AAAAAFt/qzo=")</f>
        <v>#REF!</v>
      </c>
      <c r="BH5" t="e">
        <f>IF(#REF!,"AAAAAFt/qzs=",0)</f>
        <v>#REF!</v>
      </c>
      <c r="BI5" t="e">
        <f>AND(#REF!,"AAAAAFt/qzw=")</f>
        <v>#REF!</v>
      </c>
      <c r="BJ5" t="e">
        <f>IF(#REF!,"AAAAAFt/qz0=",0)</f>
        <v>#REF!</v>
      </c>
      <c r="BK5" t="e">
        <f>AND(#REF!,"AAAAAFt/qz4=")</f>
        <v>#REF!</v>
      </c>
      <c r="BL5" t="e">
        <f>IF(#REF!,"AAAAAFt/qz8=",0)</f>
        <v>#REF!</v>
      </c>
      <c r="BM5" t="e">
        <f>AND(#REF!,"AAAAAFt/q0A=")</f>
        <v>#REF!</v>
      </c>
      <c r="BN5" t="e">
        <f>IF(#REF!,"AAAAAFt/q0E=",0)</f>
        <v>#REF!</v>
      </c>
      <c r="BO5" t="e">
        <f>AND(#REF!,"AAAAAFt/q0I=")</f>
        <v>#REF!</v>
      </c>
      <c r="BP5" t="e">
        <f>IF(#REF!,"AAAAAFt/q0M=",0)</f>
        <v>#REF!</v>
      </c>
      <c r="BQ5" t="e">
        <f>AND(#REF!,"AAAAAFt/q0Q=")</f>
        <v>#REF!</v>
      </c>
      <c r="BR5" t="e">
        <f>IF(#REF!,"AAAAAFt/q0U=",0)</f>
        <v>#REF!</v>
      </c>
      <c r="BS5" t="e">
        <f>AND(#REF!,"AAAAAFt/q0Y=")</f>
        <v>#REF!</v>
      </c>
      <c r="BT5" t="e">
        <f>IF(#REF!,"AAAAAFt/q0c=",0)</f>
        <v>#REF!</v>
      </c>
      <c r="BU5" t="e">
        <f>AND(#REF!,"AAAAAFt/q0g=")</f>
        <v>#REF!</v>
      </c>
      <c r="BV5" t="e">
        <f>IF(#REF!,"AAAAAFt/q0k=",0)</f>
        <v>#REF!</v>
      </c>
      <c r="BW5" t="e">
        <f>IF(#REF!,"AAAAAFt/q0o=",0)</f>
        <v>#REF!</v>
      </c>
      <c r="BX5" t="e">
        <f>IF(#REF!,"AAAAAFt/q0s=",0)</f>
        <v>#REF!</v>
      </c>
      <c r="BY5" t="e">
        <f>IF(#REF!,"AAAAAFt/q0w=",0)</f>
        <v>#REF!</v>
      </c>
      <c r="BZ5" t="e">
        <f>AND(#REF!,"AAAAAFt/q00=")</f>
        <v>#REF!</v>
      </c>
      <c r="CA5" t="e">
        <f>AND(#REF!,"AAAAAFt/q04=")</f>
        <v>#REF!</v>
      </c>
      <c r="CB5" t="e">
        <f>AND(#REF!,"AAAAAFt/q08=")</f>
        <v>#REF!</v>
      </c>
      <c r="CC5" t="e">
        <f>AND(#REF!,"AAAAAFt/q1A=")</f>
        <v>#REF!</v>
      </c>
      <c r="CD5" t="e">
        <f>AND(#REF!,"AAAAAFt/q1E=")</f>
        <v>#REF!</v>
      </c>
      <c r="CE5" t="e">
        <f>AND(#REF!,"AAAAAFt/q1I=")</f>
        <v>#REF!</v>
      </c>
      <c r="CF5" t="e">
        <f>AND(#REF!,"AAAAAFt/q1M=")</f>
        <v>#REF!</v>
      </c>
      <c r="CG5" t="e">
        <f>AND(#REF!,"AAAAAFt/q1Q=")</f>
        <v>#REF!</v>
      </c>
      <c r="CH5" t="e">
        <f>AND(#REF!,"AAAAAFt/q1U=")</f>
        <v>#REF!</v>
      </c>
      <c r="CI5" t="e">
        <f>IF(#REF!,"AAAAAFt/q1Y=",0)</f>
        <v>#REF!</v>
      </c>
      <c r="CJ5" t="e">
        <f>AND(#REF!,"AAAAAFt/q1c=")</f>
        <v>#REF!</v>
      </c>
      <c r="CK5" t="e">
        <f>AND(#REF!,"AAAAAFt/q1g=")</f>
        <v>#REF!</v>
      </c>
      <c r="CL5" t="e">
        <f>AND(#REF!,"AAAAAFt/q1k=")</f>
        <v>#REF!</v>
      </c>
      <c r="CM5" t="e">
        <f>AND(#REF!,"AAAAAFt/q1o=")</f>
        <v>#REF!</v>
      </c>
      <c r="CN5" t="e">
        <f>AND(#REF!,"AAAAAFt/q1s=")</f>
        <v>#REF!</v>
      </c>
      <c r="CO5" t="e">
        <f>AND(#REF!,"AAAAAFt/q1w=")</f>
        <v>#REF!</v>
      </c>
      <c r="CP5" t="e">
        <f>AND(#REF!,"AAAAAFt/q10=")</f>
        <v>#REF!</v>
      </c>
      <c r="CQ5" t="e">
        <f>AND(#REF!,"AAAAAFt/q14=")</f>
        <v>#REF!</v>
      </c>
      <c r="CR5" t="e">
        <f>AND(#REF!,"AAAAAFt/q18=")</f>
        <v>#REF!</v>
      </c>
      <c r="CS5" t="e">
        <f>IF(#REF!,"AAAAAFt/q2A=",0)</f>
        <v>#REF!</v>
      </c>
      <c r="CT5" t="e">
        <f>AND(#REF!,"AAAAAFt/q2E=")</f>
        <v>#REF!</v>
      </c>
      <c r="CU5" t="e">
        <f>AND(#REF!,"AAAAAFt/q2I=")</f>
        <v>#REF!</v>
      </c>
      <c r="CV5" t="e">
        <f>AND(#REF!,"AAAAAFt/q2M=")</f>
        <v>#REF!</v>
      </c>
      <c r="CW5" t="e">
        <f>AND(#REF!,"AAAAAFt/q2Q=")</f>
        <v>#REF!</v>
      </c>
      <c r="CX5" t="e">
        <f>AND(#REF!,"AAAAAFt/q2U=")</f>
        <v>#REF!</v>
      </c>
      <c r="CY5" t="e">
        <f>AND(#REF!,"AAAAAFt/q2Y=")</f>
        <v>#REF!</v>
      </c>
      <c r="CZ5" t="e">
        <f>AND(#REF!,"AAAAAFt/q2c=")</f>
        <v>#REF!</v>
      </c>
      <c r="DA5" t="e">
        <f>AND(#REF!,"AAAAAFt/q2g=")</f>
        <v>#REF!</v>
      </c>
      <c r="DB5" t="e">
        <f>AND(#REF!,"AAAAAFt/q2k=")</f>
        <v>#REF!</v>
      </c>
      <c r="DC5" t="e">
        <f>IF(#REF!,"AAAAAFt/q2o=",0)</f>
        <v>#REF!</v>
      </c>
      <c r="DD5" t="e">
        <f>AND(#REF!,"AAAAAFt/q2s=")</f>
        <v>#REF!</v>
      </c>
      <c r="DE5" t="e">
        <f>AND(#REF!,"AAAAAFt/q2w=")</f>
        <v>#REF!</v>
      </c>
      <c r="DF5" t="e">
        <f>AND(#REF!,"AAAAAFt/q20=")</f>
        <v>#REF!</v>
      </c>
      <c r="DG5" t="e">
        <f>AND(#REF!,"AAAAAFt/q24=")</f>
        <v>#REF!</v>
      </c>
      <c r="DH5" t="e">
        <f>AND(#REF!,"AAAAAFt/q28=")</f>
        <v>#REF!</v>
      </c>
      <c r="DI5" t="e">
        <f>AND(#REF!,"AAAAAFt/q3A=")</f>
        <v>#REF!</v>
      </c>
      <c r="DJ5" t="e">
        <f>AND(#REF!,"AAAAAFt/q3E=")</f>
        <v>#REF!</v>
      </c>
      <c r="DK5" t="e">
        <f>AND(#REF!,"AAAAAFt/q3I=")</f>
        <v>#REF!</v>
      </c>
      <c r="DL5" t="e">
        <f>AND(#REF!,"AAAAAFt/q3M=")</f>
        <v>#REF!</v>
      </c>
      <c r="DM5" t="e">
        <f>IF(#REF!,"AAAAAFt/q3Q=",0)</f>
        <v>#REF!</v>
      </c>
      <c r="DN5" t="e">
        <f>AND(#REF!,"AAAAAFt/q3U=")</f>
        <v>#REF!</v>
      </c>
      <c r="DO5" t="e">
        <f>AND(#REF!,"AAAAAFt/q3Y=")</f>
        <v>#REF!</v>
      </c>
      <c r="DP5" t="e">
        <f>AND(#REF!,"AAAAAFt/q3c=")</f>
        <v>#REF!</v>
      </c>
      <c r="DQ5" t="e">
        <f>AND(#REF!,"AAAAAFt/q3g=")</f>
        <v>#REF!</v>
      </c>
      <c r="DR5" t="e">
        <f>AND(#REF!,"AAAAAFt/q3k=")</f>
        <v>#REF!</v>
      </c>
      <c r="DS5" t="e">
        <f>AND(#REF!,"AAAAAFt/q3o=")</f>
        <v>#REF!</v>
      </c>
      <c r="DT5" t="e">
        <f>AND(#REF!,"AAAAAFt/q3s=")</f>
        <v>#REF!</v>
      </c>
      <c r="DU5" t="e">
        <f>AND(#REF!,"AAAAAFt/q3w=")</f>
        <v>#REF!</v>
      </c>
      <c r="DV5" t="e">
        <f>AND(#REF!,"AAAAAFt/q30=")</f>
        <v>#REF!</v>
      </c>
      <c r="DW5" t="e">
        <f>IF(#REF!,"AAAAAFt/q34=",0)</f>
        <v>#REF!</v>
      </c>
      <c r="DX5" t="e">
        <f>AND(#REF!,"AAAAAFt/q38=")</f>
        <v>#REF!</v>
      </c>
      <c r="DY5" t="e">
        <f>AND(#REF!,"AAAAAFt/q4A=")</f>
        <v>#REF!</v>
      </c>
      <c r="DZ5" t="e">
        <f>AND(#REF!,"AAAAAFt/q4E=")</f>
        <v>#REF!</v>
      </c>
      <c r="EA5" t="e">
        <f>AND(#REF!,"AAAAAFt/q4I=")</f>
        <v>#REF!</v>
      </c>
      <c r="EB5" t="e">
        <f>AND(#REF!,"AAAAAFt/q4M=")</f>
        <v>#REF!</v>
      </c>
      <c r="EC5" t="e">
        <f>AND(#REF!,"AAAAAFt/q4Q=")</f>
        <v>#REF!</v>
      </c>
      <c r="ED5" t="e">
        <f>AND(#REF!,"AAAAAFt/q4U=")</f>
        <v>#REF!</v>
      </c>
      <c r="EE5" t="e">
        <f>AND(#REF!,"AAAAAFt/q4Y=")</f>
        <v>#REF!</v>
      </c>
      <c r="EF5" t="e">
        <f>AND(#REF!,"AAAAAFt/q4c=")</f>
        <v>#REF!</v>
      </c>
      <c r="EG5" t="e">
        <f>IF(#REF!,"AAAAAFt/q4g=",0)</f>
        <v>#REF!</v>
      </c>
      <c r="EH5" t="e">
        <f>AND(#REF!,"AAAAAFt/q4k=")</f>
        <v>#REF!</v>
      </c>
      <c r="EI5" t="e">
        <f>AND(#REF!,"AAAAAFt/q4o=")</f>
        <v>#REF!</v>
      </c>
      <c r="EJ5" t="e">
        <f>AND(#REF!,"AAAAAFt/q4s=")</f>
        <v>#REF!</v>
      </c>
      <c r="EK5" t="e">
        <f>AND(#REF!,"AAAAAFt/q4w=")</f>
        <v>#REF!</v>
      </c>
      <c r="EL5" t="e">
        <f>AND(#REF!,"AAAAAFt/q40=")</f>
        <v>#REF!</v>
      </c>
      <c r="EM5" t="e">
        <f>AND(#REF!,"AAAAAFt/q44=")</f>
        <v>#REF!</v>
      </c>
      <c r="EN5" t="e">
        <f>AND(#REF!,"AAAAAFt/q48=")</f>
        <v>#REF!</v>
      </c>
      <c r="EO5" t="e">
        <f>AND(#REF!,"AAAAAFt/q5A=")</f>
        <v>#REF!</v>
      </c>
      <c r="EP5" t="e">
        <f>AND(#REF!,"AAAAAFt/q5E=")</f>
        <v>#REF!</v>
      </c>
      <c r="EQ5" t="e">
        <f>IF(#REF!,"AAAAAFt/q5I=",0)</f>
        <v>#REF!</v>
      </c>
      <c r="ER5" t="e">
        <f>AND(#REF!,"AAAAAFt/q5M=")</f>
        <v>#REF!</v>
      </c>
      <c r="ES5" t="e">
        <f>AND(#REF!,"AAAAAFt/q5Q=")</f>
        <v>#REF!</v>
      </c>
      <c r="ET5" t="e">
        <f>AND(#REF!,"AAAAAFt/q5U=")</f>
        <v>#REF!</v>
      </c>
      <c r="EU5" t="e">
        <f>AND(#REF!,"AAAAAFt/q5Y=")</f>
        <v>#REF!</v>
      </c>
      <c r="EV5" t="e">
        <f>AND(#REF!,"AAAAAFt/q5c=")</f>
        <v>#REF!</v>
      </c>
      <c r="EW5" t="e">
        <f>AND(#REF!,"AAAAAFt/q5g=")</f>
        <v>#REF!</v>
      </c>
      <c r="EX5" t="e">
        <f>AND(#REF!,"AAAAAFt/q5k=")</f>
        <v>#REF!</v>
      </c>
      <c r="EY5" t="e">
        <f>AND(#REF!,"AAAAAFt/q5o=")</f>
        <v>#REF!</v>
      </c>
      <c r="EZ5" t="e">
        <f>AND(#REF!,"AAAAAFt/q5s=")</f>
        <v>#REF!</v>
      </c>
      <c r="FA5" t="e">
        <f>IF(#REF!,"AAAAAFt/q5w=",0)</f>
        <v>#REF!</v>
      </c>
      <c r="FB5" t="e">
        <f>AND(#REF!,"AAAAAFt/q50=")</f>
        <v>#REF!</v>
      </c>
      <c r="FC5" t="e">
        <f>AND(#REF!,"AAAAAFt/q54=")</f>
        <v>#REF!</v>
      </c>
      <c r="FD5" t="e">
        <f>AND(#REF!,"AAAAAFt/q58=")</f>
        <v>#REF!</v>
      </c>
      <c r="FE5" t="e">
        <f>AND(#REF!,"AAAAAFt/q6A=")</f>
        <v>#REF!</v>
      </c>
      <c r="FF5" t="e">
        <f>AND(#REF!,"AAAAAFt/q6E=")</f>
        <v>#REF!</v>
      </c>
      <c r="FG5" t="e">
        <f>AND(#REF!,"AAAAAFt/q6I=")</f>
        <v>#REF!</v>
      </c>
      <c r="FH5" t="e">
        <f>AND(#REF!,"AAAAAFt/q6M=")</f>
        <v>#REF!</v>
      </c>
      <c r="FI5" t="e">
        <f>AND(#REF!,"AAAAAFt/q6Q=")</f>
        <v>#REF!</v>
      </c>
      <c r="FJ5" t="e">
        <f>AND(#REF!,"AAAAAFt/q6U=")</f>
        <v>#REF!</v>
      </c>
      <c r="FK5" t="e">
        <f>IF(#REF!,"AAAAAFt/q6Y=",0)</f>
        <v>#REF!</v>
      </c>
      <c r="FL5" t="e">
        <f>AND(#REF!,"AAAAAFt/q6c=")</f>
        <v>#REF!</v>
      </c>
      <c r="FM5" t="e">
        <f>AND(#REF!,"AAAAAFt/q6g=")</f>
        <v>#REF!</v>
      </c>
      <c r="FN5" t="e">
        <f>AND(#REF!,"AAAAAFt/q6k=")</f>
        <v>#REF!</v>
      </c>
      <c r="FO5" t="e">
        <f>AND(#REF!,"AAAAAFt/q6o=")</f>
        <v>#REF!</v>
      </c>
      <c r="FP5" t="e">
        <f>AND(#REF!,"AAAAAFt/q6s=")</f>
        <v>#REF!</v>
      </c>
      <c r="FQ5" t="e">
        <f>AND(#REF!,"AAAAAFt/q6w=")</f>
        <v>#REF!</v>
      </c>
      <c r="FR5" t="e">
        <f>AND(#REF!,"AAAAAFt/q60=")</f>
        <v>#REF!</v>
      </c>
      <c r="FS5" t="e">
        <f>AND(#REF!,"AAAAAFt/q64=")</f>
        <v>#REF!</v>
      </c>
      <c r="FT5" t="e">
        <f>AND(#REF!,"AAAAAFt/q68=")</f>
        <v>#REF!</v>
      </c>
      <c r="FU5" t="e">
        <f>IF(#REF!,"AAAAAFt/q7A=",0)</f>
        <v>#REF!</v>
      </c>
      <c r="FV5" t="e">
        <f>AND(#REF!,"AAAAAFt/q7E=")</f>
        <v>#REF!</v>
      </c>
      <c r="FW5" t="e">
        <f>AND(#REF!,"AAAAAFt/q7I=")</f>
        <v>#REF!</v>
      </c>
      <c r="FX5" t="e">
        <f>AND(#REF!,"AAAAAFt/q7M=")</f>
        <v>#REF!</v>
      </c>
      <c r="FY5" t="e">
        <f>AND(#REF!,"AAAAAFt/q7Q=")</f>
        <v>#REF!</v>
      </c>
      <c r="FZ5" t="e">
        <f>AND(#REF!,"AAAAAFt/q7U=")</f>
        <v>#REF!</v>
      </c>
      <c r="GA5" t="e">
        <f>AND(#REF!,"AAAAAFt/q7Y=")</f>
        <v>#REF!</v>
      </c>
      <c r="GB5" t="e">
        <f>AND(#REF!,"AAAAAFt/q7c=")</f>
        <v>#REF!</v>
      </c>
      <c r="GC5" t="e">
        <f>AND(#REF!,"AAAAAFt/q7g=")</f>
        <v>#REF!</v>
      </c>
      <c r="GD5" t="e">
        <f>AND(#REF!,"AAAAAFt/q7k=")</f>
        <v>#REF!</v>
      </c>
      <c r="GE5" t="e">
        <f>IF(#REF!,"AAAAAFt/q7o=",0)</f>
        <v>#REF!</v>
      </c>
      <c r="GF5" t="e">
        <f>AND(#REF!,"AAAAAFt/q7s=")</f>
        <v>#REF!</v>
      </c>
      <c r="GG5" t="e">
        <f>AND(#REF!,"AAAAAFt/q7w=")</f>
        <v>#REF!</v>
      </c>
      <c r="GH5" t="e">
        <f>AND(#REF!,"AAAAAFt/q70=")</f>
        <v>#REF!</v>
      </c>
      <c r="GI5" t="e">
        <f>AND(#REF!,"AAAAAFt/q74=")</f>
        <v>#REF!</v>
      </c>
      <c r="GJ5" t="e">
        <f>AND(#REF!,"AAAAAFt/q78=")</f>
        <v>#REF!</v>
      </c>
      <c r="GK5" t="e">
        <f>AND(#REF!,"AAAAAFt/q8A=")</f>
        <v>#REF!</v>
      </c>
      <c r="GL5" t="e">
        <f>AND(#REF!,"AAAAAFt/q8E=")</f>
        <v>#REF!</v>
      </c>
      <c r="GM5" t="e">
        <f>AND(#REF!,"AAAAAFt/q8I=")</f>
        <v>#REF!</v>
      </c>
      <c r="GN5" t="e">
        <f>AND(#REF!,"AAAAAFt/q8M=")</f>
        <v>#REF!</v>
      </c>
      <c r="GO5" t="e">
        <f>IF(#REF!,"AAAAAFt/q8Q=",0)</f>
        <v>#REF!</v>
      </c>
      <c r="GP5" t="e">
        <f>AND(#REF!,"AAAAAFt/q8U=")</f>
        <v>#REF!</v>
      </c>
      <c r="GQ5" t="e">
        <f>AND(#REF!,"AAAAAFt/q8Y=")</f>
        <v>#REF!</v>
      </c>
      <c r="GR5" t="e">
        <f>AND(#REF!,"AAAAAFt/q8c=")</f>
        <v>#REF!</v>
      </c>
      <c r="GS5" t="e">
        <f>AND(#REF!,"AAAAAFt/q8g=")</f>
        <v>#REF!</v>
      </c>
      <c r="GT5" t="e">
        <f>AND(#REF!,"AAAAAFt/q8k=")</f>
        <v>#REF!</v>
      </c>
      <c r="GU5" t="e">
        <f>AND(#REF!,"AAAAAFt/q8o=")</f>
        <v>#REF!</v>
      </c>
      <c r="GV5" t="e">
        <f>AND(#REF!,"AAAAAFt/q8s=")</f>
        <v>#REF!</v>
      </c>
      <c r="GW5" t="e">
        <f>AND(#REF!,"AAAAAFt/q8w=")</f>
        <v>#REF!</v>
      </c>
      <c r="GX5" t="e">
        <f>AND(#REF!,"AAAAAFt/q80=")</f>
        <v>#REF!</v>
      </c>
      <c r="GY5" t="e">
        <f>IF(#REF!,"AAAAAFt/q84=",0)</f>
        <v>#REF!</v>
      </c>
      <c r="GZ5" t="e">
        <f>AND(#REF!,"AAAAAFt/q88=")</f>
        <v>#REF!</v>
      </c>
      <c r="HA5" t="e">
        <f>AND(#REF!,"AAAAAFt/q9A=")</f>
        <v>#REF!</v>
      </c>
      <c r="HB5" t="e">
        <f>AND(#REF!,"AAAAAFt/q9E=")</f>
        <v>#REF!</v>
      </c>
      <c r="HC5" t="e">
        <f>AND(#REF!,"AAAAAFt/q9I=")</f>
        <v>#REF!</v>
      </c>
      <c r="HD5" t="e">
        <f>AND(#REF!,"AAAAAFt/q9M=")</f>
        <v>#REF!</v>
      </c>
      <c r="HE5" t="e">
        <f>AND(#REF!,"AAAAAFt/q9Q=")</f>
        <v>#REF!</v>
      </c>
      <c r="HF5" t="e">
        <f>AND(#REF!,"AAAAAFt/q9U=")</f>
        <v>#REF!</v>
      </c>
      <c r="HG5" t="e">
        <f>AND(#REF!,"AAAAAFt/q9Y=")</f>
        <v>#REF!</v>
      </c>
      <c r="HH5" t="e">
        <f>AND(#REF!,"AAAAAFt/q9c=")</f>
        <v>#REF!</v>
      </c>
      <c r="HI5" t="e">
        <f>IF(#REF!,"AAAAAFt/q9g=",0)</f>
        <v>#REF!</v>
      </c>
      <c r="HJ5" t="e">
        <f>AND(#REF!,"AAAAAFt/q9k=")</f>
        <v>#REF!</v>
      </c>
      <c r="HK5" t="e">
        <f>AND(#REF!,"AAAAAFt/q9o=")</f>
        <v>#REF!</v>
      </c>
      <c r="HL5" t="e">
        <f>AND(#REF!,"AAAAAFt/q9s=")</f>
        <v>#REF!</v>
      </c>
      <c r="HM5" t="e">
        <f>AND(#REF!,"AAAAAFt/q9w=")</f>
        <v>#REF!</v>
      </c>
      <c r="HN5" t="e">
        <f>AND(#REF!,"AAAAAFt/q90=")</f>
        <v>#REF!</v>
      </c>
      <c r="HO5" t="e">
        <f>AND(#REF!,"AAAAAFt/q94=")</f>
        <v>#REF!</v>
      </c>
      <c r="HP5" t="e">
        <f>AND(#REF!,"AAAAAFt/q98=")</f>
        <v>#REF!</v>
      </c>
      <c r="HQ5" t="e">
        <f>AND(#REF!,"AAAAAFt/q+A=")</f>
        <v>#REF!</v>
      </c>
      <c r="HR5" t="e">
        <f>AND(#REF!,"AAAAAFt/q+E=")</f>
        <v>#REF!</v>
      </c>
      <c r="HS5" t="e">
        <f>IF(#REF!,"AAAAAFt/q+I=",0)</f>
        <v>#REF!</v>
      </c>
      <c r="HT5" t="e">
        <f>AND(#REF!,"AAAAAFt/q+M=")</f>
        <v>#REF!</v>
      </c>
      <c r="HU5" t="e">
        <f>AND(#REF!,"AAAAAFt/q+Q=")</f>
        <v>#REF!</v>
      </c>
      <c r="HV5" t="e">
        <f>AND(#REF!,"AAAAAFt/q+U=")</f>
        <v>#REF!</v>
      </c>
      <c r="HW5" t="e">
        <f>AND(#REF!,"AAAAAFt/q+Y=")</f>
        <v>#REF!</v>
      </c>
      <c r="HX5" t="e">
        <f>AND(#REF!,"AAAAAFt/q+c=")</f>
        <v>#REF!</v>
      </c>
      <c r="HY5" t="e">
        <f>AND(#REF!,"AAAAAFt/q+g=")</f>
        <v>#REF!</v>
      </c>
      <c r="HZ5" t="e">
        <f>AND(#REF!,"AAAAAFt/q+k=")</f>
        <v>#REF!</v>
      </c>
      <c r="IA5" t="e">
        <f>AND(#REF!,"AAAAAFt/q+o=")</f>
        <v>#REF!</v>
      </c>
      <c r="IB5" t="e">
        <f>AND(#REF!,"AAAAAFt/q+s=")</f>
        <v>#REF!</v>
      </c>
      <c r="IC5" t="e">
        <f>IF(#REF!,"AAAAAFt/q+w=",0)</f>
        <v>#REF!</v>
      </c>
      <c r="ID5" t="e">
        <f>AND(#REF!,"AAAAAFt/q+0=")</f>
        <v>#REF!</v>
      </c>
      <c r="IE5" t="e">
        <f>AND(#REF!,"AAAAAFt/q+4=")</f>
        <v>#REF!</v>
      </c>
      <c r="IF5" t="e">
        <f>AND(#REF!,"AAAAAFt/q+8=")</f>
        <v>#REF!</v>
      </c>
      <c r="IG5" t="e">
        <f>AND(#REF!,"AAAAAFt/q/A=")</f>
        <v>#REF!</v>
      </c>
      <c r="IH5" t="e">
        <f>AND(#REF!,"AAAAAFt/q/E=")</f>
        <v>#REF!</v>
      </c>
      <c r="II5" t="e">
        <f>AND(#REF!,"AAAAAFt/q/I=")</f>
        <v>#REF!</v>
      </c>
      <c r="IJ5" t="e">
        <f>AND(#REF!,"AAAAAFt/q/M=")</f>
        <v>#REF!</v>
      </c>
      <c r="IK5" t="e">
        <f>AND(#REF!,"AAAAAFt/q/Q=")</f>
        <v>#REF!</v>
      </c>
      <c r="IL5" t="e">
        <f>AND(#REF!,"AAAAAFt/q/U=")</f>
        <v>#REF!</v>
      </c>
      <c r="IM5" t="e">
        <f>IF(#REF!,"AAAAAFt/q/Y=",0)</f>
        <v>#REF!</v>
      </c>
      <c r="IN5" t="e">
        <f>AND(#REF!,"AAAAAFt/q/c=")</f>
        <v>#REF!</v>
      </c>
      <c r="IO5" t="e">
        <f>AND(#REF!,"AAAAAFt/q/g=")</f>
        <v>#REF!</v>
      </c>
      <c r="IP5" t="e">
        <f>AND(#REF!,"AAAAAFt/q/k=")</f>
        <v>#REF!</v>
      </c>
      <c r="IQ5" t="e">
        <f>AND(#REF!,"AAAAAFt/q/o=")</f>
        <v>#REF!</v>
      </c>
      <c r="IR5" t="e">
        <f>AND(#REF!,"AAAAAFt/q/s=")</f>
        <v>#REF!</v>
      </c>
      <c r="IS5" t="e">
        <f>AND(#REF!,"AAAAAFt/q/w=")</f>
        <v>#REF!</v>
      </c>
      <c r="IT5" t="e">
        <f>AND(#REF!,"AAAAAFt/q/0=")</f>
        <v>#REF!</v>
      </c>
      <c r="IU5" t="e">
        <f>AND(#REF!,"AAAAAFt/q/4=")</f>
        <v>#REF!</v>
      </c>
      <c r="IV5" t="e">
        <f>AND(#REF!,"AAAAAFt/q/8=")</f>
        <v>#REF!</v>
      </c>
    </row>
    <row r="6" spans="1:256">
      <c r="A6" t="e">
        <f>IF(#REF!,"AAAAAHv/+gA=",0)</f>
        <v>#REF!</v>
      </c>
      <c r="B6" t="e">
        <f>AND(#REF!,"AAAAAHv/+gE=")</f>
        <v>#REF!</v>
      </c>
      <c r="C6" t="e">
        <f>AND(#REF!,"AAAAAHv/+gI=")</f>
        <v>#REF!</v>
      </c>
      <c r="D6" t="e">
        <f>AND(#REF!,"AAAAAHv/+gM=")</f>
        <v>#REF!</v>
      </c>
      <c r="E6" t="e">
        <f>AND(#REF!,"AAAAAHv/+gQ=")</f>
        <v>#REF!</v>
      </c>
      <c r="F6" t="e">
        <f>AND(#REF!,"AAAAAHv/+gU=")</f>
        <v>#REF!</v>
      </c>
      <c r="G6" t="e">
        <f>AND(#REF!,"AAAAAHv/+gY=")</f>
        <v>#REF!</v>
      </c>
      <c r="H6" t="e">
        <f>AND(#REF!,"AAAAAHv/+gc=")</f>
        <v>#REF!</v>
      </c>
      <c r="I6" t="e">
        <f>AND(#REF!,"AAAAAHv/+gg=")</f>
        <v>#REF!</v>
      </c>
      <c r="J6" t="e">
        <f>AND(#REF!,"AAAAAHv/+gk=")</f>
        <v>#REF!</v>
      </c>
      <c r="K6" t="e">
        <f>IF(#REF!,"AAAAAHv/+go=",0)</f>
        <v>#REF!</v>
      </c>
      <c r="L6" t="e">
        <f>AND(#REF!,"AAAAAHv/+gs=")</f>
        <v>#REF!</v>
      </c>
      <c r="M6" t="e">
        <f>AND(#REF!,"AAAAAHv/+gw=")</f>
        <v>#REF!</v>
      </c>
      <c r="N6" t="e">
        <f>AND(#REF!,"AAAAAHv/+g0=")</f>
        <v>#REF!</v>
      </c>
      <c r="O6" t="e">
        <f>AND(#REF!,"AAAAAHv/+g4=")</f>
        <v>#REF!</v>
      </c>
      <c r="P6" t="e">
        <f>AND(#REF!,"AAAAAHv/+g8=")</f>
        <v>#REF!</v>
      </c>
      <c r="Q6" t="e">
        <f>AND(#REF!,"AAAAAHv/+hA=")</f>
        <v>#REF!</v>
      </c>
      <c r="R6" t="e">
        <f>AND(#REF!,"AAAAAHv/+hE=")</f>
        <v>#REF!</v>
      </c>
      <c r="S6" t="e">
        <f>AND(#REF!,"AAAAAHv/+hI=")</f>
        <v>#REF!</v>
      </c>
      <c r="T6" t="e">
        <f>AND(#REF!,"AAAAAHv/+hM=")</f>
        <v>#REF!</v>
      </c>
      <c r="U6" t="e">
        <f>IF(#REF!,"AAAAAHv/+hQ=",0)</f>
        <v>#REF!</v>
      </c>
      <c r="V6" t="e">
        <f>AND(#REF!,"AAAAAHv/+hU=")</f>
        <v>#REF!</v>
      </c>
      <c r="W6" t="e">
        <f>AND(#REF!,"AAAAAHv/+hY=")</f>
        <v>#REF!</v>
      </c>
      <c r="X6" t="e">
        <f>AND(#REF!,"AAAAAHv/+hc=")</f>
        <v>#REF!</v>
      </c>
      <c r="Y6" t="e">
        <f>AND(#REF!,"AAAAAHv/+hg=")</f>
        <v>#REF!</v>
      </c>
      <c r="Z6" t="e">
        <f>AND(#REF!,"AAAAAHv/+hk=")</f>
        <v>#REF!</v>
      </c>
      <c r="AA6" t="e">
        <f>AND(#REF!,"AAAAAHv/+ho=")</f>
        <v>#REF!</v>
      </c>
      <c r="AB6" t="e">
        <f>AND(#REF!,"AAAAAHv/+hs=")</f>
        <v>#REF!</v>
      </c>
      <c r="AC6" t="e">
        <f>AND(#REF!,"AAAAAHv/+hw=")</f>
        <v>#REF!</v>
      </c>
      <c r="AD6" t="e">
        <f>AND(#REF!,"AAAAAHv/+h0=")</f>
        <v>#REF!</v>
      </c>
      <c r="AE6" t="e">
        <f>IF(#REF!,"AAAAAHv/+h4=",0)</f>
        <v>#REF!</v>
      </c>
      <c r="AF6" t="e">
        <f>AND(#REF!,"AAAAAHv/+h8=")</f>
        <v>#REF!</v>
      </c>
      <c r="AG6" t="e">
        <f>AND(#REF!,"AAAAAHv/+iA=")</f>
        <v>#REF!</v>
      </c>
      <c r="AH6" t="e">
        <f>AND(#REF!,"AAAAAHv/+iE=")</f>
        <v>#REF!</v>
      </c>
      <c r="AI6" t="e">
        <f>AND(#REF!,"AAAAAHv/+iI=")</f>
        <v>#REF!</v>
      </c>
      <c r="AJ6" t="e">
        <f>AND(#REF!,"AAAAAHv/+iM=")</f>
        <v>#REF!</v>
      </c>
      <c r="AK6" t="e">
        <f>AND(#REF!,"AAAAAHv/+iQ=")</f>
        <v>#REF!</v>
      </c>
      <c r="AL6" t="e">
        <f>AND(#REF!,"AAAAAHv/+iU=")</f>
        <v>#REF!</v>
      </c>
      <c r="AM6" t="e">
        <f>AND(#REF!,"AAAAAHv/+iY=")</f>
        <v>#REF!</v>
      </c>
      <c r="AN6" t="e">
        <f>AND(#REF!,"AAAAAHv/+ic=")</f>
        <v>#REF!</v>
      </c>
      <c r="AO6" t="e">
        <f>IF(#REF!,"AAAAAHv/+ig=",0)</f>
        <v>#REF!</v>
      </c>
      <c r="AP6" t="e">
        <f>AND(#REF!,"AAAAAHv/+ik=")</f>
        <v>#REF!</v>
      </c>
      <c r="AQ6" t="e">
        <f>AND(#REF!,"AAAAAHv/+io=")</f>
        <v>#REF!</v>
      </c>
      <c r="AR6" t="e">
        <f>AND(#REF!,"AAAAAHv/+is=")</f>
        <v>#REF!</v>
      </c>
      <c r="AS6" t="e">
        <f>AND(#REF!,"AAAAAHv/+iw=")</f>
        <v>#REF!</v>
      </c>
      <c r="AT6" t="e">
        <f>AND(#REF!,"AAAAAHv/+i0=")</f>
        <v>#REF!</v>
      </c>
      <c r="AU6" t="e">
        <f>AND(#REF!,"AAAAAHv/+i4=")</f>
        <v>#REF!</v>
      </c>
      <c r="AV6" t="e">
        <f>AND(#REF!,"AAAAAHv/+i8=")</f>
        <v>#REF!</v>
      </c>
      <c r="AW6" t="e">
        <f>AND(#REF!,"AAAAAHv/+jA=")</f>
        <v>#REF!</v>
      </c>
      <c r="AX6" t="e">
        <f>AND(#REF!,"AAAAAHv/+jE=")</f>
        <v>#REF!</v>
      </c>
      <c r="AY6" t="e">
        <f>IF(#REF!,"AAAAAHv/+jI=",0)</f>
        <v>#REF!</v>
      </c>
      <c r="AZ6" t="e">
        <f>AND(#REF!,"AAAAAHv/+jM=")</f>
        <v>#REF!</v>
      </c>
      <c r="BA6" t="e">
        <f>AND(#REF!,"AAAAAHv/+jQ=")</f>
        <v>#REF!</v>
      </c>
      <c r="BB6" t="e">
        <f>AND(#REF!,"AAAAAHv/+jU=")</f>
        <v>#REF!</v>
      </c>
      <c r="BC6" t="e">
        <f>AND(#REF!,"AAAAAHv/+jY=")</f>
        <v>#REF!</v>
      </c>
      <c r="BD6" t="e">
        <f>AND(#REF!,"AAAAAHv/+jc=")</f>
        <v>#REF!</v>
      </c>
      <c r="BE6" t="e">
        <f>AND(#REF!,"AAAAAHv/+jg=")</f>
        <v>#REF!</v>
      </c>
      <c r="BF6" t="e">
        <f>AND(#REF!,"AAAAAHv/+jk=")</f>
        <v>#REF!</v>
      </c>
      <c r="BG6" t="e">
        <f>AND(#REF!,"AAAAAHv/+jo=")</f>
        <v>#REF!</v>
      </c>
      <c r="BH6" t="e">
        <f>AND(#REF!,"AAAAAHv/+js=")</f>
        <v>#REF!</v>
      </c>
      <c r="BI6" t="e">
        <f>IF(#REF!,"AAAAAHv/+jw=",0)</f>
        <v>#REF!</v>
      </c>
      <c r="BJ6" t="e">
        <f>AND(#REF!,"AAAAAHv/+j0=")</f>
        <v>#REF!</v>
      </c>
      <c r="BK6" t="e">
        <f>AND(#REF!,"AAAAAHv/+j4=")</f>
        <v>#REF!</v>
      </c>
      <c r="BL6" t="e">
        <f>AND(#REF!,"AAAAAHv/+j8=")</f>
        <v>#REF!</v>
      </c>
      <c r="BM6" t="e">
        <f>AND(#REF!,"AAAAAHv/+kA=")</f>
        <v>#REF!</v>
      </c>
      <c r="BN6" t="e">
        <f>AND(#REF!,"AAAAAHv/+kE=")</f>
        <v>#REF!</v>
      </c>
      <c r="BO6" t="e">
        <f>AND(#REF!,"AAAAAHv/+kI=")</f>
        <v>#REF!</v>
      </c>
      <c r="BP6" t="e">
        <f>AND(#REF!,"AAAAAHv/+kM=")</f>
        <v>#REF!</v>
      </c>
      <c r="BQ6" t="e">
        <f>AND(#REF!,"AAAAAHv/+kQ=")</f>
        <v>#REF!</v>
      </c>
      <c r="BR6" t="e">
        <f>AND(#REF!,"AAAAAHv/+kU=")</f>
        <v>#REF!</v>
      </c>
      <c r="BS6" t="e">
        <f>IF(#REF!,"AAAAAHv/+kY=",0)</f>
        <v>#REF!</v>
      </c>
      <c r="BT6" t="e">
        <f>AND(#REF!,"AAAAAHv/+kc=")</f>
        <v>#REF!</v>
      </c>
      <c r="BU6" t="e">
        <f>AND(#REF!,"AAAAAHv/+kg=")</f>
        <v>#REF!</v>
      </c>
      <c r="BV6" t="e">
        <f>AND(#REF!,"AAAAAHv/+kk=")</f>
        <v>#REF!</v>
      </c>
      <c r="BW6" t="e">
        <f>AND(#REF!,"AAAAAHv/+ko=")</f>
        <v>#REF!</v>
      </c>
      <c r="BX6" t="e">
        <f>AND(#REF!,"AAAAAHv/+ks=")</f>
        <v>#REF!</v>
      </c>
      <c r="BY6" t="e">
        <f>AND(#REF!,"AAAAAHv/+kw=")</f>
        <v>#REF!</v>
      </c>
      <c r="BZ6" t="e">
        <f>AND(#REF!,"AAAAAHv/+k0=")</f>
        <v>#REF!</v>
      </c>
      <c r="CA6" t="e">
        <f>AND(#REF!,"AAAAAHv/+k4=")</f>
        <v>#REF!</v>
      </c>
      <c r="CB6" t="e">
        <f>AND(#REF!,"AAAAAHv/+k8=")</f>
        <v>#REF!</v>
      </c>
      <c r="CC6" t="e">
        <f>IF(#REF!,"AAAAAHv/+lA=",0)</f>
        <v>#REF!</v>
      </c>
      <c r="CD6" t="e">
        <f>AND(#REF!,"AAAAAHv/+lE=")</f>
        <v>#REF!</v>
      </c>
      <c r="CE6" t="e">
        <f>AND(#REF!,"AAAAAHv/+lI=")</f>
        <v>#REF!</v>
      </c>
      <c r="CF6" t="e">
        <f>AND(#REF!,"AAAAAHv/+lM=")</f>
        <v>#REF!</v>
      </c>
      <c r="CG6" t="e">
        <f>AND(#REF!,"AAAAAHv/+lQ=")</f>
        <v>#REF!</v>
      </c>
      <c r="CH6" t="e">
        <f>AND(#REF!,"AAAAAHv/+lU=")</f>
        <v>#REF!</v>
      </c>
      <c r="CI6" t="e">
        <f>AND(#REF!,"AAAAAHv/+lY=")</f>
        <v>#REF!</v>
      </c>
      <c r="CJ6" t="e">
        <f>AND(#REF!,"AAAAAHv/+lc=")</f>
        <v>#REF!</v>
      </c>
      <c r="CK6" t="e">
        <f>AND(#REF!,"AAAAAHv/+lg=")</f>
        <v>#REF!</v>
      </c>
      <c r="CL6" t="e">
        <f>AND(#REF!,"AAAAAHv/+lk=")</f>
        <v>#REF!</v>
      </c>
      <c r="CM6" t="e">
        <f>IF(#REF!,"AAAAAHv/+lo=",0)</f>
        <v>#REF!</v>
      </c>
      <c r="CN6" t="e">
        <f>AND(#REF!,"AAAAAHv/+ls=")</f>
        <v>#REF!</v>
      </c>
      <c r="CO6" t="e">
        <f>AND(#REF!,"AAAAAHv/+lw=")</f>
        <v>#REF!</v>
      </c>
      <c r="CP6" t="e">
        <f>AND(#REF!,"AAAAAHv/+l0=")</f>
        <v>#REF!</v>
      </c>
      <c r="CQ6" t="e">
        <f>AND(#REF!,"AAAAAHv/+l4=")</f>
        <v>#REF!</v>
      </c>
      <c r="CR6" t="e">
        <f>AND(#REF!,"AAAAAHv/+l8=")</f>
        <v>#REF!</v>
      </c>
      <c r="CS6" t="e">
        <f>AND(#REF!,"AAAAAHv/+mA=")</f>
        <v>#REF!</v>
      </c>
      <c r="CT6" t="e">
        <f>AND(#REF!,"AAAAAHv/+mE=")</f>
        <v>#REF!</v>
      </c>
      <c r="CU6" t="e">
        <f>AND(#REF!,"AAAAAHv/+mI=")</f>
        <v>#REF!</v>
      </c>
      <c r="CV6" t="e">
        <f>AND(#REF!,"AAAAAHv/+mM=")</f>
        <v>#REF!</v>
      </c>
      <c r="CW6" t="e">
        <f>IF(#REF!,"AAAAAHv/+mQ=",0)</f>
        <v>#REF!</v>
      </c>
      <c r="CX6" t="e">
        <f>AND(#REF!,"AAAAAHv/+mU=")</f>
        <v>#REF!</v>
      </c>
      <c r="CY6" t="e">
        <f>AND(#REF!,"AAAAAHv/+mY=")</f>
        <v>#REF!</v>
      </c>
      <c r="CZ6" t="e">
        <f>AND(#REF!,"AAAAAHv/+mc=")</f>
        <v>#REF!</v>
      </c>
      <c r="DA6" t="e">
        <f>AND(#REF!,"AAAAAHv/+mg=")</f>
        <v>#REF!</v>
      </c>
      <c r="DB6" t="e">
        <f>AND(#REF!,"AAAAAHv/+mk=")</f>
        <v>#REF!</v>
      </c>
      <c r="DC6" t="e">
        <f>AND(#REF!,"AAAAAHv/+mo=")</f>
        <v>#REF!</v>
      </c>
      <c r="DD6" t="e">
        <f>AND(#REF!,"AAAAAHv/+ms=")</f>
        <v>#REF!</v>
      </c>
      <c r="DE6" t="e">
        <f>AND(#REF!,"AAAAAHv/+mw=")</f>
        <v>#REF!</v>
      </c>
      <c r="DF6" t="e">
        <f>AND(#REF!,"AAAAAHv/+m0=")</f>
        <v>#REF!</v>
      </c>
      <c r="DG6" t="e">
        <f>IF(#REF!,"AAAAAHv/+m4=",0)</f>
        <v>#REF!</v>
      </c>
      <c r="DH6" t="e">
        <f>AND(#REF!,"AAAAAHv/+m8=")</f>
        <v>#REF!</v>
      </c>
      <c r="DI6" t="e">
        <f>AND(#REF!,"AAAAAHv/+nA=")</f>
        <v>#REF!</v>
      </c>
      <c r="DJ6" t="e">
        <f>AND(#REF!,"AAAAAHv/+nE=")</f>
        <v>#REF!</v>
      </c>
      <c r="DK6" t="e">
        <f>AND(#REF!,"AAAAAHv/+nI=")</f>
        <v>#REF!</v>
      </c>
      <c r="DL6" t="e">
        <f>AND(#REF!,"AAAAAHv/+nM=")</f>
        <v>#REF!</v>
      </c>
      <c r="DM6" t="e">
        <f>AND(#REF!,"AAAAAHv/+nQ=")</f>
        <v>#REF!</v>
      </c>
      <c r="DN6" t="e">
        <f>AND(#REF!,"AAAAAHv/+nU=")</f>
        <v>#REF!</v>
      </c>
      <c r="DO6" t="e">
        <f>AND(#REF!,"AAAAAHv/+nY=")</f>
        <v>#REF!</v>
      </c>
      <c r="DP6" t="e">
        <f>AND(#REF!,"AAAAAHv/+nc=")</f>
        <v>#REF!</v>
      </c>
      <c r="DQ6" t="e">
        <f>IF(#REF!,"AAAAAHv/+ng=",0)</f>
        <v>#REF!</v>
      </c>
      <c r="DR6" t="e">
        <f>AND(#REF!,"AAAAAHv/+nk=")</f>
        <v>#REF!</v>
      </c>
      <c r="DS6" t="e">
        <f>AND(#REF!,"AAAAAHv/+no=")</f>
        <v>#REF!</v>
      </c>
      <c r="DT6" t="e">
        <f>AND(#REF!,"AAAAAHv/+ns=")</f>
        <v>#REF!</v>
      </c>
      <c r="DU6" t="e">
        <f>AND(#REF!,"AAAAAHv/+nw=")</f>
        <v>#REF!</v>
      </c>
      <c r="DV6" t="e">
        <f>AND(#REF!,"AAAAAHv/+n0=")</f>
        <v>#REF!</v>
      </c>
      <c r="DW6" t="e">
        <f>AND(#REF!,"AAAAAHv/+n4=")</f>
        <v>#REF!</v>
      </c>
      <c r="DX6" t="e">
        <f>AND(#REF!,"AAAAAHv/+n8=")</f>
        <v>#REF!</v>
      </c>
      <c r="DY6" t="e">
        <f>AND(#REF!,"AAAAAHv/+oA=")</f>
        <v>#REF!</v>
      </c>
      <c r="DZ6" t="e">
        <f>AND(#REF!,"AAAAAHv/+oE=")</f>
        <v>#REF!</v>
      </c>
      <c r="EA6" t="e">
        <f>IF(#REF!,"AAAAAHv/+oI=",0)</f>
        <v>#REF!</v>
      </c>
      <c r="EB6" t="e">
        <f>AND(#REF!,"AAAAAHv/+oM=")</f>
        <v>#REF!</v>
      </c>
      <c r="EC6" t="e">
        <f>AND(#REF!,"AAAAAHv/+oQ=")</f>
        <v>#REF!</v>
      </c>
      <c r="ED6" t="e">
        <f>AND(#REF!,"AAAAAHv/+oU=")</f>
        <v>#REF!</v>
      </c>
      <c r="EE6" t="e">
        <f>AND(#REF!,"AAAAAHv/+oY=")</f>
        <v>#REF!</v>
      </c>
      <c r="EF6" t="e">
        <f>AND(#REF!,"AAAAAHv/+oc=")</f>
        <v>#REF!</v>
      </c>
      <c r="EG6" t="e">
        <f>AND(#REF!,"AAAAAHv/+og=")</f>
        <v>#REF!</v>
      </c>
      <c r="EH6" t="e">
        <f>AND(#REF!,"AAAAAHv/+ok=")</f>
        <v>#REF!</v>
      </c>
      <c r="EI6" t="e">
        <f>AND(#REF!,"AAAAAHv/+oo=")</f>
        <v>#REF!</v>
      </c>
      <c r="EJ6" t="e">
        <f>AND(#REF!,"AAAAAHv/+os=")</f>
        <v>#REF!</v>
      </c>
      <c r="EK6" t="e">
        <f>IF(#REF!,"AAAAAHv/+ow=",0)</f>
        <v>#REF!</v>
      </c>
      <c r="EL6" t="e">
        <f>AND(#REF!,"AAAAAHv/+o0=")</f>
        <v>#REF!</v>
      </c>
      <c r="EM6" t="e">
        <f>AND(#REF!,"AAAAAHv/+o4=")</f>
        <v>#REF!</v>
      </c>
      <c r="EN6" t="e">
        <f>AND(#REF!,"AAAAAHv/+o8=")</f>
        <v>#REF!</v>
      </c>
      <c r="EO6" t="e">
        <f>AND(#REF!,"AAAAAHv/+pA=")</f>
        <v>#REF!</v>
      </c>
      <c r="EP6" t="e">
        <f>AND(#REF!,"AAAAAHv/+pE=")</f>
        <v>#REF!</v>
      </c>
      <c r="EQ6" t="e">
        <f>AND(#REF!,"AAAAAHv/+pI=")</f>
        <v>#REF!</v>
      </c>
      <c r="ER6" t="e">
        <f>AND(#REF!,"AAAAAHv/+pM=")</f>
        <v>#REF!</v>
      </c>
      <c r="ES6" t="e">
        <f>AND(#REF!,"AAAAAHv/+pQ=")</f>
        <v>#REF!</v>
      </c>
      <c r="ET6" t="e">
        <f>AND(#REF!,"AAAAAHv/+pU=")</f>
        <v>#REF!</v>
      </c>
      <c r="EU6" t="e">
        <f>IF(#REF!,"AAAAAHv/+pY=",0)</f>
        <v>#REF!</v>
      </c>
      <c r="EV6" t="e">
        <f>AND(#REF!,"AAAAAHv/+pc=")</f>
        <v>#REF!</v>
      </c>
      <c r="EW6" t="e">
        <f>AND(#REF!,"AAAAAHv/+pg=")</f>
        <v>#REF!</v>
      </c>
      <c r="EX6" t="e">
        <f>AND(#REF!,"AAAAAHv/+pk=")</f>
        <v>#REF!</v>
      </c>
      <c r="EY6" t="e">
        <f>AND(#REF!,"AAAAAHv/+po=")</f>
        <v>#REF!</v>
      </c>
      <c r="EZ6" t="e">
        <f>AND(#REF!,"AAAAAHv/+ps=")</f>
        <v>#REF!</v>
      </c>
      <c r="FA6" t="e">
        <f>AND(#REF!,"AAAAAHv/+pw=")</f>
        <v>#REF!</v>
      </c>
      <c r="FB6" t="e">
        <f>AND(#REF!,"AAAAAHv/+p0=")</f>
        <v>#REF!</v>
      </c>
      <c r="FC6" t="e">
        <f>AND(#REF!,"AAAAAHv/+p4=")</f>
        <v>#REF!</v>
      </c>
      <c r="FD6" t="e">
        <f>AND(#REF!,"AAAAAHv/+p8=")</f>
        <v>#REF!</v>
      </c>
      <c r="FE6" t="e">
        <f>IF(#REF!,"AAAAAHv/+qA=",0)</f>
        <v>#REF!</v>
      </c>
      <c r="FF6" t="e">
        <f>AND(#REF!,"AAAAAHv/+qE=")</f>
        <v>#REF!</v>
      </c>
      <c r="FG6" t="e">
        <f>AND(#REF!,"AAAAAHv/+qI=")</f>
        <v>#REF!</v>
      </c>
      <c r="FH6" t="e">
        <f>AND(#REF!,"AAAAAHv/+qM=")</f>
        <v>#REF!</v>
      </c>
      <c r="FI6" t="e">
        <f>AND(#REF!,"AAAAAHv/+qQ=")</f>
        <v>#REF!</v>
      </c>
      <c r="FJ6" t="e">
        <f>AND(#REF!,"AAAAAHv/+qU=")</f>
        <v>#REF!</v>
      </c>
      <c r="FK6" t="e">
        <f>AND(#REF!,"AAAAAHv/+qY=")</f>
        <v>#REF!</v>
      </c>
      <c r="FL6" t="e">
        <f>AND(#REF!,"AAAAAHv/+qc=")</f>
        <v>#REF!</v>
      </c>
      <c r="FM6" t="e">
        <f>AND(#REF!,"AAAAAHv/+qg=")</f>
        <v>#REF!</v>
      </c>
      <c r="FN6" t="e">
        <f>AND(#REF!,"AAAAAHv/+qk=")</f>
        <v>#REF!</v>
      </c>
      <c r="FO6" t="e">
        <f>IF(#REF!,"AAAAAHv/+qo=",0)</f>
        <v>#REF!</v>
      </c>
      <c r="FP6" t="e">
        <f>AND(#REF!,"AAAAAHv/+qs=")</f>
        <v>#REF!</v>
      </c>
      <c r="FQ6" t="e">
        <f>AND(#REF!,"AAAAAHv/+qw=")</f>
        <v>#REF!</v>
      </c>
      <c r="FR6" t="e">
        <f>AND(#REF!,"AAAAAHv/+q0=")</f>
        <v>#REF!</v>
      </c>
      <c r="FS6" t="e">
        <f>AND(#REF!,"AAAAAHv/+q4=")</f>
        <v>#REF!</v>
      </c>
      <c r="FT6" t="e">
        <f>AND(#REF!,"AAAAAHv/+q8=")</f>
        <v>#REF!</v>
      </c>
      <c r="FU6" t="e">
        <f>AND(#REF!,"AAAAAHv/+rA=")</f>
        <v>#REF!</v>
      </c>
      <c r="FV6" t="e">
        <f>AND(#REF!,"AAAAAHv/+rE=")</f>
        <v>#REF!</v>
      </c>
      <c r="FW6" t="e">
        <f>AND(#REF!,"AAAAAHv/+rI=")</f>
        <v>#REF!</v>
      </c>
      <c r="FX6" t="e">
        <f>AND(#REF!,"AAAAAHv/+rM=")</f>
        <v>#REF!</v>
      </c>
      <c r="FY6" t="e">
        <f>IF(#REF!,"AAAAAHv/+rQ=",0)</f>
        <v>#REF!</v>
      </c>
      <c r="FZ6" t="e">
        <f>AND(#REF!,"AAAAAHv/+rU=")</f>
        <v>#REF!</v>
      </c>
      <c r="GA6" t="e">
        <f>AND(#REF!,"AAAAAHv/+rY=")</f>
        <v>#REF!</v>
      </c>
      <c r="GB6" t="e">
        <f>AND(#REF!,"AAAAAHv/+rc=")</f>
        <v>#REF!</v>
      </c>
      <c r="GC6" t="e">
        <f>AND(#REF!,"AAAAAHv/+rg=")</f>
        <v>#REF!</v>
      </c>
      <c r="GD6" t="e">
        <f>AND(#REF!,"AAAAAHv/+rk=")</f>
        <v>#REF!</v>
      </c>
      <c r="GE6" t="e">
        <f>AND(#REF!,"AAAAAHv/+ro=")</f>
        <v>#REF!</v>
      </c>
      <c r="GF6" t="e">
        <f>AND(#REF!,"AAAAAHv/+rs=")</f>
        <v>#REF!</v>
      </c>
      <c r="GG6" t="e">
        <f>AND(#REF!,"AAAAAHv/+rw=")</f>
        <v>#REF!</v>
      </c>
      <c r="GH6" t="e">
        <f>AND(#REF!,"AAAAAHv/+r0=")</f>
        <v>#REF!</v>
      </c>
      <c r="GI6" t="e">
        <f>IF(#REF!,"AAAAAHv/+r4=",0)</f>
        <v>#REF!</v>
      </c>
      <c r="GJ6" t="e">
        <f>AND(#REF!,"AAAAAHv/+r8=")</f>
        <v>#REF!</v>
      </c>
      <c r="GK6" t="e">
        <f>AND(#REF!,"AAAAAHv/+sA=")</f>
        <v>#REF!</v>
      </c>
      <c r="GL6" t="e">
        <f>AND(#REF!,"AAAAAHv/+sE=")</f>
        <v>#REF!</v>
      </c>
      <c r="GM6" t="e">
        <f>AND(#REF!,"AAAAAHv/+sI=")</f>
        <v>#REF!</v>
      </c>
      <c r="GN6" t="e">
        <f>AND(#REF!,"AAAAAHv/+sM=")</f>
        <v>#REF!</v>
      </c>
      <c r="GO6" t="e">
        <f>AND(#REF!,"AAAAAHv/+sQ=")</f>
        <v>#REF!</v>
      </c>
      <c r="GP6" t="e">
        <f>AND(#REF!,"AAAAAHv/+sU=")</f>
        <v>#REF!</v>
      </c>
      <c r="GQ6" t="e">
        <f>AND(#REF!,"AAAAAHv/+sY=")</f>
        <v>#REF!</v>
      </c>
      <c r="GR6" t="e">
        <f>AND(#REF!,"AAAAAHv/+sc=")</f>
        <v>#REF!</v>
      </c>
      <c r="GS6" t="e">
        <f>IF(#REF!,"AAAAAHv/+sg=",0)</f>
        <v>#REF!</v>
      </c>
      <c r="GT6" t="e">
        <f>AND(#REF!,"AAAAAHv/+sk=")</f>
        <v>#REF!</v>
      </c>
      <c r="GU6" t="e">
        <f>AND(#REF!,"AAAAAHv/+so=")</f>
        <v>#REF!</v>
      </c>
      <c r="GV6" t="e">
        <f>AND(#REF!,"AAAAAHv/+ss=")</f>
        <v>#REF!</v>
      </c>
      <c r="GW6" t="e">
        <f>AND(#REF!,"AAAAAHv/+sw=")</f>
        <v>#REF!</v>
      </c>
      <c r="GX6" t="e">
        <f>AND(#REF!,"AAAAAHv/+s0=")</f>
        <v>#REF!</v>
      </c>
      <c r="GY6" t="e">
        <f>AND(#REF!,"AAAAAHv/+s4=")</f>
        <v>#REF!</v>
      </c>
      <c r="GZ6" t="e">
        <f>AND(#REF!,"AAAAAHv/+s8=")</f>
        <v>#REF!</v>
      </c>
      <c r="HA6" t="e">
        <f>AND(#REF!,"AAAAAHv/+tA=")</f>
        <v>#REF!</v>
      </c>
      <c r="HB6" t="e">
        <f>AND(#REF!,"AAAAAHv/+tE=")</f>
        <v>#REF!</v>
      </c>
      <c r="HC6" t="e">
        <f>IF(#REF!,"AAAAAHv/+tI=",0)</f>
        <v>#REF!</v>
      </c>
      <c r="HD6" t="e">
        <f>IF(#REF!,"AAAAAHv/+tM=",0)</f>
        <v>#REF!</v>
      </c>
      <c r="HE6" t="e">
        <f>IF(#REF!,"AAAAAHv/+tQ=",0)</f>
        <v>#REF!</v>
      </c>
      <c r="HF6" t="e">
        <f>IF(#REF!,"AAAAAHv/+tU=",0)</f>
        <v>#REF!</v>
      </c>
      <c r="HG6" t="e">
        <f>IF(#REF!,"AAAAAHv/+tY=",0)</f>
        <v>#REF!</v>
      </c>
      <c r="HH6" t="e">
        <f>IF(#REF!,"AAAAAHv/+tc=",0)</f>
        <v>#REF!</v>
      </c>
      <c r="HI6" t="e">
        <f>IF(#REF!,"AAAAAHv/+tg=",0)</f>
        <v>#REF!</v>
      </c>
      <c r="HJ6" t="e">
        <f>IF(#REF!,"AAAAAHv/+tk=",0)</f>
        <v>#REF!</v>
      </c>
      <c r="HK6" t="e">
        <f>IF(#REF!,"AAAAAHv/+to=",0)</f>
        <v>#REF!</v>
      </c>
      <c r="HL6" t="e">
        <f>IF(#REF!,"AAAAAHv/+ts=",0)</f>
        <v>#REF!</v>
      </c>
      <c r="HM6" t="e">
        <f>AND(#REF!,"AAAAAHv/+tw=")</f>
        <v>#REF!</v>
      </c>
      <c r="HN6" t="e">
        <f>AND(#REF!,"AAAAAHv/+t0=")</f>
        <v>#REF!</v>
      </c>
      <c r="HO6" t="e">
        <f>AND(#REF!,"AAAAAHv/+t4=")</f>
        <v>#REF!</v>
      </c>
      <c r="HP6" t="e">
        <f>AND(#REF!,"AAAAAHv/+t8=")</f>
        <v>#REF!</v>
      </c>
      <c r="HQ6" t="e">
        <f>AND(#REF!,"AAAAAHv/+uA=")</f>
        <v>#REF!</v>
      </c>
      <c r="HR6" t="e">
        <f>AND(#REF!,"AAAAAHv/+uE=")</f>
        <v>#REF!</v>
      </c>
      <c r="HS6" t="e">
        <f>AND(#REF!,"AAAAAHv/+uI=")</f>
        <v>#REF!</v>
      </c>
      <c r="HT6" t="e">
        <f>AND(#REF!,"AAAAAHv/+uM=")</f>
        <v>#REF!</v>
      </c>
      <c r="HU6" t="e">
        <f>IF(#REF!,"AAAAAHv/+uQ=",0)</f>
        <v>#REF!</v>
      </c>
      <c r="HV6" t="e">
        <f>AND(#REF!,"AAAAAHv/+uU=")</f>
        <v>#REF!</v>
      </c>
      <c r="HW6" t="e">
        <f>AND(#REF!,"AAAAAHv/+uY=")</f>
        <v>#REF!</v>
      </c>
      <c r="HX6" t="e">
        <f>AND(#REF!,"AAAAAHv/+uc=")</f>
        <v>#REF!</v>
      </c>
      <c r="HY6" t="e">
        <f>AND(#REF!,"AAAAAHv/+ug=")</f>
        <v>#REF!</v>
      </c>
      <c r="HZ6" t="e">
        <f>AND(#REF!,"AAAAAHv/+uk=")</f>
        <v>#REF!</v>
      </c>
      <c r="IA6" t="e">
        <f>AND(#REF!,"AAAAAHv/+uo=")</f>
        <v>#REF!</v>
      </c>
      <c r="IB6" t="e">
        <f>AND(#REF!,"AAAAAHv/+us=")</f>
        <v>#REF!</v>
      </c>
      <c r="IC6" t="e">
        <f>AND(#REF!,"AAAAAHv/+uw=")</f>
        <v>#REF!</v>
      </c>
      <c r="ID6" t="e">
        <f>IF(#REF!,"AAAAAHv/+u0=",0)</f>
        <v>#REF!</v>
      </c>
      <c r="IE6" t="e">
        <f>AND(#REF!,"AAAAAHv/+u4=")</f>
        <v>#REF!</v>
      </c>
      <c r="IF6" t="e">
        <f>AND(#REF!,"AAAAAHv/+u8=")</f>
        <v>#REF!</v>
      </c>
      <c r="IG6" t="e">
        <f>AND(#REF!,"AAAAAHv/+vA=")</f>
        <v>#REF!</v>
      </c>
      <c r="IH6" t="e">
        <f>AND(#REF!,"AAAAAHv/+vE=")</f>
        <v>#REF!</v>
      </c>
      <c r="II6" t="e">
        <f>AND(#REF!,"AAAAAHv/+vI=")</f>
        <v>#REF!</v>
      </c>
      <c r="IJ6" t="e">
        <f>AND(#REF!,"AAAAAHv/+vM=")</f>
        <v>#REF!</v>
      </c>
      <c r="IK6" t="e">
        <f>AND(#REF!,"AAAAAHv/+vQ=")</f>
        <v>#REF!</v>
      </c>
      <c r="IL6" t="e">
        <f>AND(#REF!,"AAAAAHv/+vU=")</f>
        <v>#REF!</v>
      </c>
      <c r="IM6" t="e">
        <f>IF(#REF!,"AAAAAHv/+vY=",0)</f>
        <v>#REF!</v>
      </c>
      <c r="IN6" t="e">
        <f>AND(#REF!,"AAAAAHv/+vc=")</f>
        <v>#REF!</v>
      </c>
      <c r="IO6" t="e">
        <f>AND(#REF!,"AAAAAHv/+vg=")</f>
        <v>#REF!</v>
      </c>
      <c r="IP6" t="e">
        <f>AND(#REF!,"AAAAAHv/+vk=")</f>
        <v>#REF!</v>
      </c>
      <c r="IQ6" t="e">
        <f>AND(#REF!,"AAAAAHv/+vo=")</f>
        <v>#REF!</v>
      </c>
      <c r="IR6" t="e">
        <f>AND(#REF!,"AAAAAHv/+vs=")</f>
        <v>#REF!</v>
      </c>
      <c r="IS6" t="e">
        <f>AND(#REF!,"AAAAAHv/+vw=")</f>
        <v>#REF!</v>
      </c>
      <c r="IT6" t="e">
        <f>AND(#REF!,"AAAAAHv/+v0=")</f>
        <v>#REF!</v>
      </c>
      <c r="IU6" t="e">
        <f>AND(#REF!,"AAAAAHv/+v4=")</f>
        <v>#REF!</v>
      </c>
      <c r="IV6" t="e">
        <f>IF(#REF!,"AAAAAHv/+v8=",0)</f>
        <v>#REF!</v>
      </c>
    </row>
    <row r="7" spans="1:256">
      <c r="A7" t="e">
        <f>AND(#REF!,"AAAAAF/Z3wA=")</f>
        <v>#REF!</v>
      </c>
      <c r="B7" t="e">
        <f>AND(#REF!,"AAAAAF/Z3wE=")</f>
        <v>#REF!</v>
      </c>
      <c r="C7" t="e">
        <f>AND(#REF!,"AAAAAF/Z3wI=")</f>
        <v>#REF!</v>
      </c>
      <c r="D7" t="e">
        <f>AND(#REF!,"AAAAAF/Z3wM=")</f>
        <v>#REF!</v>
      </c>
      <c r="E7" t="e">
        <f>AND(#REF!,"AAAAAF/Z3wQ=")</f>
        <v>#REF!</v>
      </c>
      <c r="F7" t="e">
        <f>AND(#REF!,"AAAAAF/Z3wU=")</f>
        <v>#REF!</v>
      </c>
      <c r="G7" t="e">
        <f>AND(#REF!,"AAAAAF/Z3wY=")</f>
        <v>#REF!</v>
      </c>
      <c r="H7" t="e">
        <f>AND(#REF!,"AAAAAF/Z3wc=")</f>
        <v>#REF!</v>
      </c>
      <c r="I7" t="e">
        <f>IF(#REF!,"AAAAAF/Z3wg=",0)</f>
        <v>#REF!</v>
      </c>
      <c r="J7" t="e">
        <f>AND(#REF!,"AAAAAF/Z3wk=")</f>
        <v>#REF!</v>
      </c>
      <c r="K7" t="e">
        <f>AND(#REF!,"AAAAAF/Z3wo=")</f>
        <v>#REF!</v>
      </c>
      <c r="L7" t="e">
        <f>AND(#REF!,"AAAAAF/Z3ws=")</f>
        <v>#REF!</v>
      </c>
      <c r="M7" t="e">
        <f>AND(#REF!,"AAAAAF/Z3ww=")</f>
        <v>#REF!</v>
      </c>
      <c r="N7" t="e">
        <f>AND(#REF!,"AAAAAF/Z3w0=")</f>
        <v>#REF!</v>
      </c>
      <c r="O7" t="e">
        <f>AND(#REF!,"AAAAAF/Z3w4=")</f>
        <v>#REF!</v>
      </c>
      <c r="P7" t="e">
        <f>AND(#REF!,"AAAAAF/Z3w8=")</f>
        <v>#REF!</v>
      </c>
      <c r="Q7" t="e">
        <f>AND(#REF!,"AAAAAF/Z3xA=")</f>
        <v>#REF!</v>
      </c>
      <c r="R7" t="e">
        <f>IF(#REF!,"AAAAAF/Z3xE=",0)</f>
        <v>#REF!</v>
      </c>
      <c r="S7" t="e">
        <f>AND(#REF!,"AAAAAF/Z3xI=")</f>
        <v>#REF!</v>
      </c>
      <c r="T7" t="e">
        <f>AND(#REF!,"AAAAAF/Z3xM=")</f>
        <v>#REF!</v>
      </c>
      <c r="U7" t="e">
        <f>AND(#REF!,"AAAAAF/Z3xQ=")</f>
        <v>#REF!</v>
      </c>
      <c r="V7" t="e">
        <f>AND(#REF!,"AAAAAF/Z3xU=")</f>
        <v>#REF!</v>
      </c>
      <c r="W7" t="e">
        <f>AND(#REF!,"AAAAAF/Z3xY=")</f>
        <v>#REF!</v>
      </c>
      <c r="X7" t="e">
        <f>AND(#REF!,"AAAAAF/Z3xc=")</f>
        <v>#REF!</v>
      </c>
      <c r="Y7" t="e">
        <f>AND(#REF!,"AAAAAF/Z3xg=")</f>
        <v>#REF!</v>
      </c>
      <c r="Z7" t="e">
        <f>AND(#REF!,"AAAAAF/Z3xk=")</f>
        <v>#REF!</v>
      </c>
      <c r="AA7" t="e">
        <f>IF(#REF!,"AAAAAF/Z3xo=",0)</f>
        <v>#REF!</v>
      </c>
      <c r="AB7" t="e">
        <f>AND(#REF!,"AAAAAF/Z3xs=")</f>
        <v>#REF!</v>
      </c>
      <c r="AC7" t="e">
        <f>AND(#REF!,"AAAAAF/Z3xw=")</f>
        <v>#REF!</v>
      </c>
      <c r="AD7" t="e">
        <f>AND(#REF!,"AAAAAF/Z3x0=")</f>
        <v>#REF!</v>
      </c>
      <c r="AE7" t="e">
        <f>AND(#REF!,"AAAAAF/Z3x4=")</f>
        <v>#REF!</v>
      </c>
      <c r="AF7" t="e">
        <f>AND(#REF!,"AAAAAF/Z3x8=")</f>
        <v>#REF!</v>
      </c>
      <c r="AG7" t="e">
        <f>AND(#REF!,"AAAAAF/Z3yA=")</f>
        <v>#REF!</v>
      </c>
      <c r="AH7" t="e">
        <f>AND(#REF!,"AAAAAF/Z3yE=")</f>
        <v>#REF!</v>
      </c>
      <c r="AI7" t="e">
        <f>AND(#REF!,"AAAAAF/Z3yI=")</f>
        <v>#REF!</v>
      </c>
      <c r="AJ7" t="e">
        <f>IF(#REF!,"AAAAAF/Z3yM=",0)</f>
        <v>#REF!</v>
      </c>
      <c r="AK7" t="e">
        <f>AND(#REF!,"AAAAAF/Z3yQ=")</f>
        <v>#REF!</v>
      </c>
      <c r="AL7" t="e">
        <f>AND(#REF!,"AAAAAF/Z3yU=")</f>
        <v>#REF!</v>
      </c>
      <c r="AM7" t="e">
        <f>AND(#REF!,"AAAAAF/Z3yY=")</f>
        <v>#REF!</v>
      </c>
      <c r="AN7" t="e">
        <f>AND(#REF!,"AAAAAF/Z3yc=")</f>
        <v>#REF!</v>
      </c>
      <c r="AO7" t="e">
        <f>AND(#REF!,"AAAAAF/Z3yg=")</f>
        <v>#REF!</v>
      </c>
      <c r="AP7" t="e">
        <f>AND(#REF!,"AAAAAF/Z3yk=")</f>
        <v>#REF!</v>
      </c>
      <c r="AQ7" t="e">
        <f>AND(#REF!,"AAAAAF/Z3yo=")</f>
        <v>#REF!</v>
      </c>
      <c r="AR7" t="e">
        <f>AND(#REF!,"AAAAAF/Z3ys=")</f>
        <v>#REF!</v>
      </c>
      <c r="AS7" t="e">
        <f>IF(#REF!,"AAAAAF/Z3yw=",0)</f>
        <v>#REF!</v>
      </c>
      <c r="AT7" t="e">
        <f>AND(#REF!,"AAAAAF/Z3y0=")</f>
        <v>#REF!</v>
      </c>
      <c r="AU7" t="e">
        <f>AND(#REF!,"AAAAAF/Z3y4=")</f>
        <v>#REF!</v>
      </c>
      <c r="AV7" t="e">
        <f>AND(#REF!,"AAAAAF/Z3y8=")</f>
        <v>#REF!</v>
      </c>
      <c r="AW7" t="e">
        <f>AND(#REF!,"AAAAAF/Z3zA=")</f>
        <v>#REF!</v>
      </c>
      <c r="AX7" t="e">
        <f>AND(#REF!,"AAAAAF/Z3zE=")</f>
        <v>#REF!</v>
      </c>
      <c r="AY7" t="e">
        <f>AND(#REF!,"AAAAAF/Z3zI=")</f>
        <v>#REF!</v>
      </c>
      <c r="AZ7" t="e">
        <f>AND(#REF!,"AAAAAF/Z3zM=")</f>
        <v>#REF!</v>
      </c>
      <c r="BA7" t="e">
        <f>AND(#REF!,"AAAAAF/Z3zQ=")</f>
        <v>#REF!</v>
      </c>
      <c r="BB7" t="e">
        <f>IF(#REF!,"AAAAAF/Z3zU=",0)</f>
        <v>#REF!</v>
      </c>
      <c r="BC7" t="e">
        <f>AND(#REF!,"AAAAAF/Z3zY=")</f>
        <v>#REF!</v>
      </c>
      <c r="BD7" t="e">
        <f>AND(#REF!,"AAAAAF/Z3zc=")</f>
        <v>#REF!</v>
      </c>
      <c r="BE7" t="e">
        <f>AND(#REF!,"AAAAAF/Z3zg=")</f>
        <v>#REF!</v>
      </c>
      <c r="BF7" t="e">
        <f>AND(#REF!,"AAAAAF/Z3zk=")</f>
        <v>#REF!</v>
      </c>
      <c r="BG7" t="e">
        <f>AND(#REF!,"AAAAAF/Z3zo=")</f>
        <v>#REF!</v>
      </c>
      <c r="BH7" t="e">
        <f>AND(#REF!,"AAAAAF/Z3zs=")</f>
        <v>#REF!</v>
      </c>
      <c r="BI7" t="e">
        <f>AND(#REF!,"AAAAAF/Z3zw=")</f>
        <v>#REF!</v>
      </c>
      <c r="BJ7" t="e">
        <f>AND(#REF!,"AAAAAF/Z3z0=")</f>
        <v>#REF!</v>
      </c>
      <c r="BK7" t="e">
        <f>IF(#REF!,"AAAAAF/Z3z4=",0)</f>
        <v>#REF!</v>
      </c>
      <c r="BL7" t="e">
        <f>AND(#REF!,"AAAAAF/Z3z8=")</f>
        <v>#REF!</v>
      </c>
      <c r="BM7" t="e">
        <f>IF(#REF!,"AAAAAF/Z30A=",0)</f>
        <v>#REF!</v>
      </c>
      <c r="BN7" t="e">
        <f>IF(#REF!,"AAAAAF/Z30E=",0)</f>
        <v>#REF!</v>
      </c>
      <c r="BO7" t="e">
        <f>IF(#REF!,"AAAAAF/Z30I=",0)</f>
        <v>#REF!</v>
      </c>
      <c r="BP7" t="e">
        <f>IF(#REF!,"AAAAAF/Z30M=",0)</f>
        <v>#REF!</v>
      </c>
      <c r="BQ7" t="e">
        <f>IF(#REF!,"AAAAAF/Z30Q=",0)</f>
        <v>#REF!</v>
      </c>
      <c r="BR7" t="e">
        <f>IF(#REF!,"AAAAAF/Z30U=",0)</f>
        <v>#REF!</v>
      </c>
      <c r="BS7" t="e">
        <f>IF(#REF!,"AAAAAF/Z30Y=",0)</f>
        <v>#REF!</v>
      </c>
      <c r="BT7" t="e">
        <f>IF(#REF!,"AAAAAF/Z30c=",0)</f>
        <v>#REF!</v>
      </c>
      <c r="BU7" t="e">
        <f>IF(#REF!,"AAAAAF/Z30g=",0)</f>
        <v>#REF!</v>
      </c>
      <c r="BV7" t="e">
        <f>AND(#REF!,"AAAAAF/Z30k=")</f>
        <v>#REF!</v>
      </c>
      <c r="BW7" t="e">
        <f>AND(#REF!,"AAAAAF/Z30o=")</f>
        <v>#REF!</v>
      </c>
      <c r="BX7" t="e">
        <f>AND(#REF!,"AAAAAF/Z30s=")</f>
        <v>#REF!</v>
      </c>
      <c r="BY7" t="e">
        <f>AND(#REF!,"AAAAAF/Z30w=")</f>
        <v>#REF!</v>
      </c>
      <c r="BZ7" t="e">
        <f>AND(#REF!,"AAAAAF/Z300=")</f>
        <v>#REF!</v>
      </c>
      <c r="CA7" t="e">
        <f>AND(#REF!,"AAAAAF/Z304=")</f>
        <v>#REF!</v>
      </c>
      <c r="CB7" t="e">
        <f>AND(#REF!,"AAAAAF/Z308=")</f>
        <v>#REF!</v>
      </c>
      <c r="CC7" t="e">
        <f>AND(#REF!,"AAAAAF/Z31A=")</f>
        <v>#REF!</v>
      </c>
      <c r="CD7" t="e">
        <f>IF(#REF!,"AAAAAF/Z31E=",0)</f>
        <v>#REF!</v>
      </c>
      <c r="CE7" t="e">
        <f>AND(#REF!,"AAAAAF/Z31I=")</f>
        <v>#REF!</v>
      </c>
      <c r="CF7" t="e">
        <f>AND(#REF!,"AAAAAF/Z31M=")</f>
        <v>#REF!</v>
      </c>
      <c r="CG7" t="e">
        <f>AND(#REF!,"AAAAAF/Z31Q=")</f>
        <v>#REF!</v>
      </c>
      <c r="CH7" t="e">
        <f>AND(#REF!,"AAAAAF/Z31U=")</f>
        <v>#REF!</v>
      </c>
      <c r="CI7" t="e">
        <f>AND(#REF!,"AAAAAF/Z31Y=")</f>
        <v>#REF!</v>
      </c>
      <c r="CJ7" t="e">
        <f>AND(#REF!,"AAAAAF/Z31c=")</f>
        <v>#REF!</v>
      </c>
      <c r="CK7" t="e">
        <f>AND(#REF!,"AAAAAF/Z31g=")</f>
        <v>#REF!</v>
      </c>
      <c r="CL7" t="e">
        <f>AND(#REF!,"AAAAAF/Z31k=")</f>
        <v>#REF!</v>
      </c>
      <c r="CM7" t="e">
        <f>IF(#REF!,"AAAAAF/Z31o=",0)</f>
        <v>#REF!</v>
      </c>
      <c r="CN7" t="e">
        <f>AND(#REF!,"AAAAAF/Z31s=")</f>
        <v>#REF!</v>
      </c>
      <c r="CO7" t="e">
        <f>AND(#REF!,"AAAAAF/Z31w=")</f>
        <v>#REF!</v>
      </c>
      <c r="CP7" t="e">
        <f>AND(#REF!,"AAAAAF/Z310=")</f>
        <v>#REF!</v>
      </c>
      <c r="CQ7" t="e">
        <f>AND(#REF!,"AAAAAF/Z314=")</f>
        <v>#REF!</v>
      </c>
      <c r="CR7" t="e">
        <f>AND(#REF!,"AAAAAF/Z318=")</f>
        <v>#REF!</v>
      </c>
      <c r="CS7" t="e">
        <f>AND(#REF!,"AAAAAF/Z32A=")</f>
        <v>#REF!</v>
      </c>
      <c r="CT7" t="e">
        <f>AND(#REF!,"AAAAAF/Z32E=")</f>
        <v>#REF!</v>
      </c>
      <c r="CU7" t="e">
        <f>AND(#REF!,"AAAAAF/Z32I=")</f>
        <v>#REF!</v>
      </c>
      <c r="CV7" t="e">
        <f>IF(#REF!,"AAAAAF/Z32M=",0)</f>
        <v>#REF!</v>
      </c>
      <c r="CW7" t="e">
        <f>AND(#REF!,"AAAAAF/Z32Q=")</f>
        <v>#REF!</v>
      </c>
      <c r="CX7" t="e">
        <f>AND(#REF!,"AAAAAF/Z32U=")</f>
        <v>#REF!</v>
      </c>
      <c r="CY7" t="e">
        <f>AND(#REF!,"AAAAAF/Z32Y=")</f>
        <v>#REF!</v>
      </c>
      <c r="CZ7" t="e">
        <f>AND(#REF!,"AAAAAF/Z32c=")</f>
        <v>#REF!</v>
      </c>
      <c r="DA7" t="e">
        <f>AND(#REF!,"AAAAAF/Z32g=")</f>
        <v>#REF!</v>
      </c>
      <c r="DB7" t="e">
        <f>AND(#REF!,"AAAAAF/Z32k=")</f>
        <v>#REF!</v>
      </c>
      <c r="DC7" t="e">
        <f>AND(#REF!,"AAAAAF/Z32o=")</f>
        <v>#REF!</v>
      </c>
      <c r="DD7" t="e">
        <f>AND(#REF!,"AAAAAF/Z32s=")</f>
        <v>#REF!</v>
      </c>
      <c r="DE7" t="e">
        <f>IF(#REF!,"AAAAAF/Z32w=",0)</f>
        <v>#REF!</v>
      </c>
      <c r="DF7" t="e">
        <f>AND(#REF!,"AAAAAF/Z320=")</f>
        <v>#REF!</v>
      </c>
      <c r="DG7" t="e">
        <f>AND(#REF!,"AAAAAF/Z324=")</f>
        <v>#REF!</v>
      </c>
      <c r="DH7" t="e">
        <f>AND(#REF!,"AAAAAF/Z328=")</f>
        <v>#REF!</v>
      </c>
      <c r="DI7" t="e">
        <f>AND(#REF!,"AAAAAF/Z33A=")</f>
        <v>#REF!</v>
      </c>
      <c r="DJ7" t="e">
        <f>AND(#REF!,"AAAAAF/Z33E=")</f>
        <v>#REF!</v>
      </c>
      <c r="DK7" t="e">
        <f>AND(#REF!,"AAAAAF/Z33I=")</f>
        <v>#REF!</v>
      </c>
      <c r="DL7" t="e">
        <f>AND(#REF!,"AAAAAF/Z33M=")</f>
        <v>#REF!</v>
      </c>
      <c r="DM7" t="e">
        <f>AND(#REF!,"AAAAAF/Z33Q=")</f>
        <v>#REF!</v>
      </c>
      <c r="DN7" t="e">
        <f>IF(#REF!,"AAAAAF/Z33U=",0)</f>
        <v>#REF!</v>
      </c>
      <c r="DO7" t="e">
        <f>AND(#REF!,"AAAAAF/Z33Y=")</f>
        <v>#REF!</v>
      </c>
      <c r="DP7" t="e">
        <f>AND(#REF!,"AAAAAF/Z33c=")</f>
        <v>#REF!</v>
      </c>
      <c r="DQ7" t="e">
        <f>AND(#REF!,"AAAAAF/Z33g=")</f>
        <v>#REF!</v>
      </c>
      <c r="DR7" t="e">
        <f>AND(#REF!,"AAAAAF/Z33k=")</f>
        <v>#REF!</v>
      </c>
      <c r="DS7" t="e">
        <f>AND(#REF!,"AAAAAF/Z33o=")</f>
        <v>#REF!</v>
      </c>
      <c r="DT7" t="e">
        <f>AND(#REF!,"AAAAAF/Z33s=")</f>
        <v>#REF!</v>
      </c>
      <c r="DU7" t="e">
        <f>AND(#REF!,"AAAAAF/Z33w=")</f>
        <v>#REF!</v>
      </c>
      <c r="DV7" t="e">
        <f>AND(#REF!,"AAAAAF/Z330=")</f>
        <v>#REF!</v>
      </c>
      <c r="DW7" t="e">
        <f>IF(#REF!,"AAAAAF/Z334=",0)</f>
        <v>#REF!</v>
      </c>
      <c r="DX7" t="e">
        <f>AND(#REF!,"AAAAAF/Z338=")</f>
        <v>#REF!</v>
      </c>
      <c r="DY7" t="e">
        <f>AND(#REF!,"AAAAAF/Z34A=")</f>
        <v>#REF!</v>
      </c>
      <c r="DZ7" t="e">
        <f>AND(#REF!,"AAAAAF/Z34E=")</f>
        <v>#REF!</v>
      </c>
      <c r="EA7" t="e">
        <f>AND(#REF!,"AAAAAF/Z34I=")</f>
        <v>#REF!</v>
      </c>
      <c r="EB7" t="e">
        <f>AND(#REF!,"AAAAAF/Z34M=")</f>
        <v>#REF!</v>
      </c>
      <c r="EC7" t="e">
        <f>AND(#REF!,"AAAAAF/Z34Q=")</f>
        <v>#REF!</v>
      </c>
      <c r="ED7" t="e">
        <f>AND(#REF!,"AAAAAF/Z34U=")</f>
        <v>#REF!</v>
      </c>
      <c r="EE7" t="e">
        <f>AND(#REF!,"AAAAAF/Z34Y=")</f>
        <v>#REF!</v>
      </c>
      <c r="EF7" t="e">
        <f>IF(#REF!,"AAAAAF/Z34c=",0)</f>
        <v>#REF!</v>
      </c>
      <c r="EG7" t="e">
        <f>AND(#REF!,"AAAAAF/Z34g=")</f>
        <v>#REF!</v>
      </c>
      <c r="EH7" t="e">
        <f>AND(#REF!,"AAAAAF/Z34k=")</f>
        <v>#REF!</v>
      </c>
      <c r="EI7" t="e">
        <f>AND(#REF!,"AAAAAF/Z34o=")</f>
        <v>#REF!</v>
      </c>
      <c r="EJ7" t="e">
        <f>AND(#REF!,"AAAAAF/Z34s=")</f>
        <v>#REF!</v>
      </c>
      <c r="EK7" t="e">
        <f>AND(#REF!,"AAAAAF/Z34w=")</f>
        <v>#REF!</v>
      </c>
      <c r="EL7" t="e">
        <f>AND(#REF!,"AAAAAF/Z340=")</f>
        <v>#REF!</v>
      </c>
      <c r="EM7" t="e">
        <f>AND(#REF!,"AAAAAF/Z344=")</f>
        <v>#REF!</v>
      </c>
      <c r="EN7" t="e">
        <f>AND(#REF!,"AAAAAF/Z348=")</f>
        <v>#REF!</v>
      </c>
      <c r="EO7" t="e">
        <f>IF(#REF!,"AAAAAF/Z35A=",0)</f>
        <v>#REF!</v>
      </c>
      <c r="EP7" t="e">
        <f>AND(#REF!,"AAAAAF/Z35E=")</f>
        <v>#REF!</v>
      </c>
      <c r="EQ7" t="e">
        <f>AND(#REF!,"AAAAAF/Z35I=")</f>
        <v>#REF!</v>
      </c>
      <c r="ER7" t="e">
        <f>AND(#REF!,"AAAAAF/Z35M=")</f>
        <v>#REF!</v>
      </c>
      <c r="ES7" t="e">
        <f>AND(#REF!,"AAAAAF/Z35Q=")</f>
        <v>#REF!</v>
      </c>
      <c r="ET7" t="e">
        <f>AND(#REF!,"AAAAAF/Z35U=")</f>
        <v>#REF!</v>
      </c>
      <c r="EU7" t="e">
        <f>AND(#REF!,"AAAAAF/Z35Y=")</f>
        <v>#REF!</v>
      </c>
      <c r="EV7" t="e">
        <f>AND(#REF!,"AAAAAF/Z35c=")</f>
        <v>#REF!</v>
      </c>
      <c r="EW7" t="e">
        <f>AND(#REF!,"AAAAAF/Z35g=")</f>
        <v>#REF!</v>
      </c>
      <c r="EX7" t="e">
        <f>IF(#REF!,"AAAAAF/Z35k=",0)</f>
        <v>#REF!</v>
      </c>
      <c r="EY7" t="e">
        <f>AND(#REF!,"AAAAAF/Z35o=")</f>
        <v>#REF!</v>
      </c>
      <c r="EZ7" t="e">
        <f>AND(#REF!,"AAAAAF/Z35s=")</f>
        <v>#REF!</v>
      </c>
      <c r="FA7" t="e">
        <f>AND(#REF!,"AAAAAF/Z35w=")</f>
        <v>#REF!</v>
      </c>
      <c r="FB7" t="e">
        <f>AND(#REF!,"AAAAAF/Z350=")</f>
        <v>#REF!</v>
      </c>
      <c r="FC7" t="e">
        <f>AND(#REF!,"AAAAAF/Z354=")</f>
        <v>#REF!</v>
      </c>
      <c r="FD7" t="e">
        <f>AND(#REF!,"AAAAAF/Z358=")</f>
        <v>#REF!</v>
      </c>
      <c r="FE7" t="e">
        <f>AND(#REF!,"AAAAAF/Z36A=")</f>
        <v>#REF!</v>
      </c>
      <c r="FF7" t="e">
        <f>AND(#REF!,"AAAAAF/Z36E=")</f>
        <v>#REF!</v>
      </c>
      <c r="FG7" t="e">
        <f>IF(#REF!,"AAAAAF/Z36I=",0)</f>
        <v>#REF!</v>
      </c>
      <c r="FH7" t="e">
        <f>AND(#REF!,"AAAAAF/Z36M=")</f>
        <v>#REF!</v>
      </c>
      <c r="FI7" t="e">
        <f>AND(#REF!,"AAAAAF/Z36Q=")</f>
        <v>#REF!</v>
      </c>
      <c r="FJ7" t="e">
        <f>AND(#REF!,"AAAAAF/Z36U=")</f>
        <v>#REF!</v>
      </c>
      <c r="FK7" t="e">
        <f>AND(#REF!,"AAAAAF/Z36Y=")</f>
        <v>#REF!</v>
      </c>
      <c r="FL7" t="e">
        <f>AND(#REF!,"AAAAAF/Z36c=")</f>
        <v>#REF!</v>
      </c>
      <c r="FM7" t="e">
        <f>AND(#REF!,"AAAAAF/Z36g=")</f>
        <v>#REF!</v>
      </c>
      <c r="FN7" t="e">
        <f>AND(#REF!,"AAAAAF/Z36k=")</f>
        <v>#REF!</v>
      </c>
      <c r="FO7" t="e">
        <f>AND(#REF!,"AAAAAF/Z36o=")</f>
        <v>#REF!</v>
      </c>
      <c r="FP7" t="e">
        <f>IF(#REF!,"AAAAAF/Z36s=",0)</f>
        <v>#REF!</v>
      </c>
      <c r="FQ7" t="e">
        <f>AND(#REF!,"AAAAAF/Z36w=")</f>
        <v>#REF!</v>
      </c>
      <c r="FR7" t="e">
        <f>AND(#REF!,"AAAAAF/Z360=")</f>
        <v>#REF!</v>
      </c>
      <c r="FS7" t="e">
        <f>AND(#REF!,"AAAAAF/Z364=")</f>
        <v>#REF!</v>
      </c>
      <c r="FT7" t="e">
        <f>AND(#REF!,"AAAAAF/Z368=")</f>
        <v>#REF!</v>
      </c>
      <c r="FU7" t="e">
        <f>AND(#REF!,"AAAAAF/Z37A=")</f>
        <v>#REF!</v>
      </c>
      <c r="FV7" t="e">
        <f>AND(#REF!,"AAAAAF/Z37E=")</f>
        <v>#REF!</v>
      </c>
      <c r="FW7" t="e">
        <f>AND(#REF!,"AAAAAF/Z37I=")</f>
        <v>#REF!</v>
      </c>
      <c r="FX7" t="e">
        <f>AND(#REF!,"AAAAAF/Z37M=")</f>
        <v>#REF!</v>
      </c>
      <c r="FY7" t="e">
        <f>IF(#REF!,"AAAAAF/Z37Q=",0)</f>
        <v>#REF!</v>
      </c>
      <c r="FZ7" t="e">
        <f>AND(#REF!,"AAAAAF/Z37U=")</f>
        <v>#REF!</v>
      </c>
      <c r="GA7" t="e">
        <f>AND(#REF!,"AAAAAF/Z37Y=")</f>
        <v>#REF!</v>
      </c>
      <c r="GB7" t="e">
        <f>AND(#REF!,"AAAAAF/Z37c=")</f>
        <v>#REF!</v>
      </c>
      <c r="GC7" t="e">
        <f>AND(#REF!,"AAAAAF/Z37g=")</f>
        <v>#REF!</v>
      </c>
      <c r="GD7" t="e">
        <f>AND(#REF!,"AAAAAF/Z37k=")</f>
        <v>#REF!</v>
      </c>
      <c r="GE7" t="e">
        <f>AND(#REF!,"AAAAAF/Z37o=")</f>
        <v>#REF!</v>
      </c>
      <c r="GF7" t="e">
        <f>AND(#REF!,"AAAAAF/Z37s=")</f>
        <v>#REF!</v>
      </c>
      <c r="GG7" t="e">
        <f>AND(#REF!,"AAAAAF/Z37w=")</f>
        <v>#REF!</v>
      </c>
      <c r="GH7" t="e">
        <f>IF(#REF!,"AAAAAF/Z370=",0)</f>
        <v>#REF!</v>
      </c>
      <c r="GI7" t="e">
        <f>AND(#REF!,"AAAAAF/Z374=")</f>
        <v>#REF!</v>
      </c>
      <c r="GJ7" t="e">
        <f>AND(#REF!,"AAAAAF/Z378=")</f>
        <v>#REF!</v>
      </c>
      <c r="GK7" t="e">
        <f>AND(#REF!,"AAAAAF/Z38A=")</f>
        <v>#REF!</v>
      </c>
      <c r="GL7" t="e">
        <f>AND(#REF!,"AAAAAF/Z38E=")</f>
        <v>#REF!</v>
      </c>
      <c r="GM7" t="e">
        <f>AND(#REF!,"AAAAAF/Z38I=")</f>
        <v>#REF!</v>
      </c>
      <c r="GN7" t="e">
        <f>AND(#REF!,"AAAAAF/Z38M=")</f>
        <v>#REF!</v>
      </c>
      <c r="GO7" t="e">
        <f>AND(#REF!,"AAAAAF/Z38Q=")</f>
        <v>#REF!</v>
      </c>
      <c r="GP7" t="e">
        <f>AND(#REF!,"AAAAAF/Z38U=")</f>
        <v>#REF!</v>
      </c>
      <c r="GQ7" t="e">
        <f>IF(#REF!,"AAAAAF/Z38Y=",0)</f>
        <v>#REF!</v>
      </c>
      <c r="GR7" t="e">
        <f>IF(#REF!,"AAAAAF/Z38c=",0)</f>
        <v>#REF!</v>
      </c>
      <c r="GS7" t="e">
        <f>IF(#REF!,"AAAAAF/Z38g=",0)</f>
        <v>#REF!</v>
      </c>
      <c r="GT7" t="e">
        <f>IF(#REF!,"AAAAAF/Z38k=",0)</f>
        <v>#REF!</v>
      </c>
      <c r="GU7" t="e">
        <f>IF(#REF!,"AAAAAF/Z38o=",0)</f>
        <v>#REF!</v>
      </c>
      <c r="GV7" t="e">
        <f>IF(#REF!,"AAAAAF/Z38s=",0)</f>
        <v>#REF!</v>
      </c>
      <c r="GW7" t="e">
        <f>IF(#REF!,"AAAAAF/Z38w=",0)</f>
        <v>#REF!</v>
      </c>
      <c r="GX7" t="e">
        <f>IF(#REF!,"AAAAAF/Z380=",0)</f>
        <v>#REF!</v>
      </c>
      <c r="GY7" t="e">
        <f>IF(#REF!,"AAAAAF/Z384=",0)</f>
        <v>#REF!</v>
      </c>
      <c r="GZ7" t="e">
        <f>IF(#REF!,"AAAAAF/Z388=",0)</f>
        <v>#REF!</v>
      </c>
      <c r="HA7" t="e">
        <f>IF(#REF!,"AAAAAF/Z39A=",0)</f>
        <v>#REF!</v>
      </c>
      <c r="HB7" t="e">
        <f>IF(#REF!,"AAAAAF/Z39E=",0)</f>
        <v>#REF!</v>
      </c>
      <c r="HC7" t="e">
        <f>IF(#REF!,"AAAAAF/Z39I=",0)</f>
        <v>#REF!</v>
      </c>
      <c r="HD7" t="e">
        <f>IF(#REF!,"AAAAAF/Z39M=",0)</f>
        <v>#REF!</v>
      </c>
      <c r="HE7" t="e">
        <f>IF(#REF!,"AAAAAF/Z39Q=",0)</f>
        <v>#REF!</v>
      </c>
      <c r="HF7" t="e">
        <f>IF(#REF!,"AAAAAF/Z39U=",0)</f>
        <v>#REF!</v>
      </c>
      <c r="HG7" t="e">
        <f>IF(#REF!,"AAAAAF/Z39Y=",0)</f>
        <v>#REF!</v>
      </c>
      <c r="HH7" t="e">
        <f>IF(#REF!,"AAAAAF/Z39c=",0)</f>
        <v>#REF!</v>
      </c>
      <c r="HI7" t="e">
        <f>IF(#REF!,"AAAAAF/Z39g=",0)</f>
        <v>#REF!</v>
      </c>
      <c r="HJ7" t="e">
        <f>IF(#REF!,"AAAAAF/Z39k=",0)</f>
        <v>#REF!</v>
      </c>
      <c r="HK7" t="e">
        <f>IF(#REF!,"AAAAAF/Z39o=",0)</f>
        <v>#REF!</v>
      </c>
      <c r="HL7" t="e">
        <f>AND(#REF!,"AAAAAF/Z39s=")</f>
        <v>#REF!</v>
      </c>
      <c r="HM7" t="e">
        <f>AND(#REF!,"AAAAAF/Z39w=")</f>
        <v>#REF!</v>
      </c>
      <c r="HN7" t="e">
        <f>AND(#REF!,"AAAAAF/Z390=")</f>
        <v>#REF!</v>
      </c>
      <c r="HO7" t="e">
        <f>AND(#REF!,"AAAAAF/Z394=")</f>
        <v>#REF!</v>
      </c>
      <c r="HP7" t="e">
        <f>AND(#REF!,"AAAAAF/Z398=")</f>
        <v>#REF!</v>
      </c>
      <c r="HQ7" t="e">
        <f>AND(#REF!,"AAAAAF/Z3+A=")</f>
        <v>#REF!</v>
      </c>
      <c r="HR7" t="e">
        <f>AND(#REF!,"AAAAAF/Z3+E=")</f>
        <v>#REF!</v>
      </c>
      <c r="HS7" t="e">
        <f>AND(#REF!,"AAAAAF/Z3+I=")</f>
        <v>#REF!</v>
      </c>
      <c r="HT7" t="e">
        <f>AND(#REF!,"AAAAAF/Z3+M=")</f>
        <v>#REF!</v>
      </c>
      <c r="HU7" t="e">
        <f>AND(#REF!,"AAAAAF/Z3+Q=")</f>
        <v>#REF!</v>
      </c>
      <c r="HV7" t="e">
        <f>IF(#REF!,"AAAAAF/Z3+U=",0)</f>
        <v>#REF!</v>
      </c>
      <c r="HW7" t="e">
        <f>AND(#REF!,"AAAAAF/Z3+Y=")</f>
        <v>#REF!</v>
      </c>
      <c r="HX7" t="e">
        <f>AND(#REF!,"AAAAAF/Z3+c=")</f>
        <v>#REF!</v>
      </c>
      <c r="HY7" t="e">
        <f>AND(#REF!,"AAAAAF/Z3+g=")</f>
        <v>#REF!</v>
      </c>
      <c r="HZ7" t="e">
        <f>AND(#REF!,"AAAAAF/Z3+k=")</f>
        <v>#REF!</v>
      </c>
      <c r="IA7" t="e">
        <f>AND(#REF!,"AAAAAF/Z3+o=")</f>
        <v>#REF!</v>
      </c>
      <c r="IB7" t="e">
        <f>AND(#REF!,"AAAAAF/Z3+s=")</f>
        <v>#REF!</v>
      </c>
      <c r="IC7" t="e">
        <f>AND(#REF!,"AAAAAF/Z3+w=")</f>
        <v>#REF!</v>
      </c>
      <c r="ID7" t="e">
        <f>AND(#REF!,"AAAAAF/Z3+0=")</f>
        <v>#REF!</v>
      </c>
      <c r="IE7" t="e">
        <f>AND(#REF!,"AAAAAF/Z3+4=")</f>
        <v>#REF!</v>
      </c>
      <c r="IF7" t="e">
        <f>AND(#REF!,"AAAAAF/Z3+8=")</f>
        <v>#REF!</v>
      </c>
      <c r="IG7" t="e">
        <f>IF(#REF!,"AAAAAF/Z3/A=",0)</f>
        <v>#REF!</v>
      </c>
      <c r="IH7" t="e">
        <f>AND(#REF!,"AAAAAF/Z3/E=")</f>
        <v>#REF!</v>
      </c>
      <c r="II7" t="e">
        <f>AND(#REF!,"AAAAAF/Z3/I=")</f>
        <v>#REF!</v>
      </c>
      <c r="IJ7" t="e">
        <f>AND(#REF!,"AAAAAF/Z3/M=")</f>
        <v>#REF!</v>
      </c>
      <c r="IK7" t="e">
        <f>AND(#REF!,"AAAAAF/Z3/Q=")</f>
        <v>#REF!</v>
      </c>
      <c r="IL7" t="e">
        <f>AND(#REF!,"AAAAAF/Z3/U=")</f>
        <v>#REF!</v>
      </c>
      <c r="IM7" t="e">
        <f>AND(#REF!,"AAAAAF/Z3/Y=")</f>
        <v>#REF!</v>
      </c>
      <c r="IN7" t="e">
        <f>AND(#REF!,"AAAAAF/Z3/c=")</f>
        <v>#REF!</v>
      </c>
      <c r="IO7" t="e">
        <f>AND(#REF!,"AAAAAF/Z3/g=")</f>
        <v>#REF!</v>
      </c>
      <c r="IP7" t="e">
        <f>AND(#REF!,"AAAAAF/Z3/k=")</f>
        <v>#REF!</v>
      </c>
      <c r="IQ7" t="e">
        <f>AND(#REF!,"AAAAAF/Z3/o=")</f>
        <v>#REF!</v>
      </c>
      <c r="IR7" t="e">
        <f>IF(#REF!,"AAAAAF/Z3/s=",0)</f>
        <v>#REF!</v>
      </c>
      <c r="IS7" t="e">
        <f>AND(#REF!,"AAAAAF/Z3/w=")</f>
        <v>#REF!</v>
      </c>
      <c r="IT7" t="e">
        <f>AND(#REF!,"AAAAAF/Z3/0=")</f>
        <v>#REF!</v>
      </c>
      <c r="IU7" t="e">
        <f>AND(#REF!,"AAAAAF/Z3/4=")</f>
        <v>#REF!</v>
      </c>
      <c r="IV7" t="e">
        <f>AND(#REF!,"AAAAAF/Z3/8=")</f>
        <v>#REF!</v>
      </c>
    </row>
    <row r="8" spans="1:256">
      <c r="A8" t="e">
        <f>AND(#REF!,"AAAAAH9v/wA=")</f>
        <v>#REF!</v>
      </c>
      <c r="B8" t="e">
        <f>AND(#REF!,"AAAAAH9v/wE=")</f>
        <v>#REF!</v>
      </c>
      <c r="C8" t="e">
        <f>AND(#REF!,"AAAAAH9v/wI=")</f>
        <v>#REF!</v>
      </c>
      <c r="D8" t="e">
        <f>AND(#REF!,"AAAAAH9v/wM=")</f>
        <v>#REF!</v>
      </c>
      <c r="E8" t="e">
        <f>AND(#REF!,"AAAAAH9v/wQ=")</f>
        <v>#REF!</v>
      </c>
      <c r="F8" t="e">
        <f>AND(#REF!,"AAAAAH9v/wU=")</f>
        <v>#REF!</v>
      </c>
      <c r="G8" t="e">
        <f>IF(#REF!,"AAAAAH9v/wY=",0)</f>
        <v>#REF!</v>
      </c>
      <c r="H8" t="e">
        <f>AND(#REF!,"AAAAAH9v/wc=")</f>
        <v>#REF!</v>
      </c>
      <c r="I8" t="e">
        <f>AND(#REF!,"AAAAAH9v/wg=")</f>
        <v>#REF!</v>
      </c>
      <c r="J8" t="e">
        <f>AND(#REF!,"AAAAAH9v/wk=")</f>
        <v>#REF!</v>
      </c>
      <c r="K8" t="e">
        <f>AND(#REF!,"AAAAAH9v/wo=")</f>
        <v>#REF!</v>
      </c>
      <c r="L8" t="e">
        <f>AND(#REF!,"AAAAAH9v/ws=")</f>
        <v>#REF!</v>
      </c>
      <c r="M8" t="e">
        <f>AND(#REF!,"AAAAAH9v/ww=")</f>
        <v>#REF!</v>
      </c>
      <c r="N8" t="e">
        <f>AND(#REF!,"AAAAAH9v/w0=")</f>
        <v>#REF!</v>
      </c>
      <c r="O8" t="e">
        <f>AND(#REF!,"AAAAAH9v/w4=")</f>
        <v>#REF!</v>
      </c>
      <c r="P8" t="e">
        <f>AND(#REF!,"AAAAAH9v/w8=")</f>
        <v>#REF!</v>
      </c>
      <c r="Q8" t="e">
        <f>AND(#REF!,"AAAAAH9v/xA=")</f>
        <v>#REF!</v>
      </c>
      <c r="R8" t="e">
        <f>IF(#REF!,"AAAAAH9v/xE=",0)</f>
        <v>#REF!</v>
      </c>
      <c r="S8" t="e">
        <f>AND(#REF!,"AAAAAH9v/xI=")</f>
        <v>#REF!</v>
      </c>
      <c r="T8" t="e">
        <f>AND(#REF!,"AAAAAH9v/xM=")</f>
        <v>#REF!</v>
      </c>
      <c r="U8" t="e">
        <f>AND(#REF!,"AAAAAH9v/xQ=")</f>
        <v>#REF!</v>
      </c>
      <c r="V8" t="e">
        <f>AND(#REF!,"AAAAAH9v/xU=")</f>
        <v>#REF!</v>
      </c>
      <c r="W8" t="e">
        <f>AND(#REF!,"AAAAAH9v/xY=")</f>
        <v>#REF!</v>
      </c>
      <c r="X8" t="e">
        <f>AND(#REF!,"AAAAAH9v/xc=")</f>
        <v>#REF!</v>
      </c>
      <c r="Y8" t="e">
        <f>AND(#REF!,"AAAAAH9v/xg=")</f>
        <v>#REF!</v>
      </c>
      <c r="Z8" t="e">
        <f>AND(#REF!,"AAAAAH9v/xk=")</f>
        <v>#REF!</v>
      </c>
      <c r="AA8" t="e">
        <f>AND(#REF!,"AAAAAH9v/xo=")</f>
        <v>#REF!</v>
      </c>
      <c r="AB8" t="e">
        <f>AND(#REF!,"AAAAAH9v/xs=")</f>
        <v>#REF!</v>
      </c>
      <c r="AC8" t="e">
        <f>IF(#REF!,"AAAAAH9v/xw=",0)</f>
        <v>#REF!</v>
      </c>
      <c r="AD8" t="e">
        <f>AND(#REF!,"AAAAAH9v/x0=")</f>
        <v>#REF!</v>
      </c>
      <c r="AE8" t="e">
        <f>AND(#REF!,"AAAAAH9v/x4=")</f>
        <v>#REF!</v>
      </c>
      <c r="AF8" t="e">
        <f>AND(#REF!,"AAAAAH9v/x8=")</f>
        <v>#REF!</v>
      </c>
      <c r="AG8" t="e">
        <f>AND(#REF!,"AAAAAH9v/yA=")</f>
        <v>#REF!</v>
      </c>
      <c r="AH8" t="e">
        <f>AND(#REF!,"AAAAAH9v/yE=")</f>
        <v>#REF!</v>
      </c>
      <c r="AI8" t="e">
        <f>AND(#REF!,"AAAAAH9v/yI=")</f>
        <v>#REF!</v>
      </c>
      <c r="AJ8" t="e">
        <f>AND(#REF!,"AAAAAH9v/yM=")</f>
        <v>#REF!</v>
      </c>
      <c r="AK8" t="e">
        <f>AND(#REF!,"AAAAAH9v/yQ=")</f>
        <v>#REF!</v>
      </c>
      <c r="AL8" t="e">
        <f>AND(#REF!,"AAAAAH9v/yU=")</f>
        <v>#REF!</v>
      </c>
      <c r="AM8" t="e">
        <f>AND(#REF!,"AAAAAH9v/yY=")</f>
        <v>#REF!</v>
      </c>
      <c r="AN8" t="e">
        <f>IF(#REF!,"AAAAAH9v/yc=",0)</f>
        <v>#REF!</v>
      </c>
      <c r="AO8" t="e">
        <f>AND(#REF!,"AAAAAH9v/yg=")</f>
        <v>#REF!</v>
      </c>
      <c r="AP8" t="e">
        <f>AND(#REF!,"AAAAAH9v/yk=")</f>
        <v>#REF!</v>
      </c>
      <c r="AQ8" t="e">
        <f>AND(#REF!,"AAAAAH9v/yo=")</f>
        <v>#REF!</v>
      </c>
      <c r="AR8" t="e">
        <f>AND(#REF!,"AAAAAH9v/ys=")</f>
        <v>#REF!</v>
      </c>
      <c r="AS8" t="e">
        <f>AND(#REF!,"AAAAAH9v/yw=")</f>
        <v>#REF!</v>
      </c>
      <c r="AT8" t="e">
        <f>AND(#REF!,"AAAAAH9v/y0=")</f>
        <v>#REF!</v>
      </c>
      <c r="AU8" t="e">
        <f>AND(#REF!,"AAAAAH9v/y4=")</f>
        <v>#REF!</v>
      </c>
      <c r="AV8" t="e">
        <f>AND(#REF!,"AAAAAH9v/y8=")</f>
        <v>#REF!</v>
      </c>
      <c r="AW8" t="e">
        <f>AND(#REF!,"AAAAAH9v/zA=")</f>
        <v>#REF!</v>
      </c>
      <c r="AX8" t="e">
        <f>AND(#REF!,"AAAAAH9v/zE=")</f>
        <v>#REF!</v>
      </c>
      <c r="AY8" t="e">
        <f>IF(#REF!,"AAAAAH9v/zI=",0)</f>
        <v>#REF!</v>
      </c>
      <c r="AZ8" t="e">
        <f>AND(#REF!,"AAAAAH9v/zM=")</f>
        <v>#REF!</v>
      </c>
      <c r="BA8" t="e">
        <f>AND(#REF!,"AAAAAH9v/zQ=")</f>
        <v>#REF!</v>
      </c>
      <c r="BB8" t="e">
        <f>AND(#REF!,"AAAAAH9v/zU=")</f>
        <v>#REF!</v>
      </c>
      <c r="BC8" t="e">
        <f>AND(#REF!,"AAAAAH9v/zY=")</f>
        <v>#REF!</v>
      </c>
      <c r="BD8" t="e">
        <f>AND(#REF!,"AAAAAH9v/zc=")</f>
        <v>#REF!</v>
      </c>
      <c r="BE8" t="e">
        <f>AND(#REF!,"AAAAAH9v/zg=")</f>
        <v>#REF!</v>
      </c>
      <c r="BF8" t="e">
        <f>AND(#REF!,"AAAAAH9v/zk=")</f>
        <v>#REF!</v>
      </c>
      <c r="BG8" t="e">
        <f>AND(#REF!,"AAAAAH9v/zo=")</f>
        <v>#REF!</v>
      </c>
      <c r="BH8" t="e">
        <f>AND(#REF!,"AAAAAH9v/zs=")</f>
        <v>#REF!</v>
      </c>
      <c r="BI8" t="e">
        <f>AND(#REF!,"AAAAAH9v/zw=")</f>
        <v>#REF!</v>
      </c>
      <c r="BJ8" t="e">
        <f>IF(#REF!,"AAAAAH9v/z0=",0)</f>
        <v>#REF!</v>
      </c>
      <c r="BK8" t="e">
        <f>AND(#REF!,"AAAAAH9v/z4=")</f>
        <v>#REF!</v>
      </c>
      <c r="BL8" t="e">
        <f>AND(#REF!,"AAAAAH9v/z8=")</f>
        <v>#REF!</v>
      </c>
      <c r="BM8" t="e">
        <f>AND(#REF!,"AAAAAH9v/0A=")</f>
        <v>#REF!</v>
      </c>
      <c r="BN8" t="e">
        <f>AND(#REF!,"AAAAAH9v/0E=")</f>
        <v>#REF!</v>
      </c>
      <c r="BO8" t="e">
        <f>AND(#REF!,"AAAAAH9v/0I=")</f>
        <v>#REF!</v>
      </c>
      <c r="BP8" t="e">
        <f>AND(#REF!,"AAAAAH9v/0M=")</f>
        <v>#REF!</v>
      </c>
      <c r="BQ8" t="e">
        <f>AND(#REF!,"AAAAAH9v/0Q=")</f>
        <v>#REF!</v>
      </c>
      <c r="BR8" t="e">
        <f>AND(#REF!,"AAAAAH9v/0U=")</f>
        <v>#REF!</v>
      </c>
      <c r="BS8" t="e">
        <f>AND(#REF!,"AAAAAH9v/0Y=")</f>
        <v>#REF!</v>
      </c>
      <c r="BT8" t="e">
        <f>AND(#REF!,"AAAAAH9v/0c=")</f>
        <v>#REF!</v>
      </c>
      <c r="BU8" t="e">
        <f>IF(#REF!,"AAAAAH9v/0g=",0)</f>
        <v>#REF!</v>
      </c>
      <c r="BV8" t="e">
        <f>AND(#REF!,"AAAAAH9v/0k=")</f>
        <v>#REF!</v>
      </c>
      <c r="BW8" t="e">
        <f>AND(#REF!,"AAAAAH9v/0o=")</f>
        <v>#REF!</v>
      </c>
      <c r="BX8" t="e">
        <f>AND(#REF!,"AAAAAH9v/0s=")</f>
        <v>#REF!</v>
      </c>
      <c r="BY8" t="e">
        <f>AND(#REF!,"AAAAAH9v/0w=")</f>
        <v>#REF!</v>
      </c>
      <c r="BZ8" t="e">
        <f>AND(#REF!,"AAAAAH9v/00=")</f>
        <v>#REF!</v>
      </c>
      <c r="CA8" t="e">
        <f>AND(#REF!,"AAAAAH9v/04=")</f>
        <v>#REF!</v>
      </c>
      <c r="CB8" t="e">
        <f>AND(#REF!,"AAAAAH9v/08=")</f>
        <v>#REF!</v>
      </c>
      <c r="CC8" t="e">
        <f>AND(#REF!,"AAAAAH9v/1A=")</f>
        <v>#REF!</v>
      </c>
      <c r="CD8" t="e">
        <f>AND(#REF!,"AAAAAH9v/1E=")</f>
        <v>#REF!</v>
      </c>
      <c r="CE8" t="e">
        <f>AND(#REF!,"AAAAAH9v/1I=")</f>
        <v>#REF!</v>
      </c>
      <c r="CF8" t="e">
        <f>IF(#REF!,"AAAAAH9v/1M=",0)</f>
        <v>#REF!</v>
      </c>
      <c r="CG8" t="e">
        <f>AND(#REF!,"AAAAAH9v/1Q=")</f>
        <v>#REF!</v>
      </c>
      <c r="CH8" t="e">
        <f>AND(#REF!,"AAAAAH9v/1U=")</f>
        <v>#REF!</v>
      </c>
      <c r="CI8" t="e">
        <f>AND(#REF!,"AAAAAH9v/1Y=")</f>
        <v>#REF!</v>
      </c>
      <c r="CJ8" t="e">
        <f>AND(#REF!,"AAAAAH9v/1c=")</f>
        <v>#REF!</v>
      </c>
      <c r="CK8" t="e">
        <f>AND(#REF!,"AAAAAH9v/1g=")</f>
        <v>#REF!</v>
      </c>
      <c r="CL8" t="e">
        <f>AND(#REF!,"AAAAAH9v/1k=")</f>
        <v>#REF!</v>
      </c>
      <c r="CM8" t="e">
        <f>AND(#REF!,"AAAAAH9v/1o=")</f>
        <v>#REF!</v>
      </c>
      <c r="CN8" t="e">
        <f>AND(#REF!,"AAAAAH9v/1s=")</f>
        <v>#REF!</v>
      </c>
      <c r="CO8" t="e">
        <f>AND(#REF!,"AAAAAH9v/1w=")</f>
        <v>#REF!</v>
      </c>
      <c r="CP8" t="e">
        <f>AND(#REF!,"AAAAAH9v/10=")</f>
        <v>#REF!</v>
      </c>
      <c r="CQ8" t="e">
        <f>IF(#REF!,"AAAAAH9v/14=",0)</f>
        <v>#REF!</v>
      </c>
      <c r="CR8" t="e">
        <f>AND(#REF!,"AAAAAH9v/18=")</f>
        <v>#REF!</v>
      </c>
      <c r="CS8" t="e">
        <f>IF(#REF!,"AAAAAH9v/2A=",0)</f>
        <v>#REF!</v>
      </c>
      <c r="CT8" t="e">
        <f>AND(#REF!,"AAAAAH9v/2E=")</f>
        <v>#REF!</v>
      </c>
      <c r="CU8" t="e">
        <f>IF(#REF!,"AAAAAH9v/2I=",0)</f>
        <v>#REF!</v>
      </c>
      <c r="CV8" t="e">
        <f>IF(#REF!,"AAAAAH9v/2M=",0)</f>
        <v>#REF!</v>
      </c>
      <c r="CW8" t="e">
        <f>IF(#REF!,"AAAAAH9v/2Q=",0)</f>
        <v>#REF!</v>
      </c>
      <c r="CX8" t="e">
        <f>IF(#REF!,"AAAAAH9v/2U=",0)</f>
        <v>#REF!</v>
      </c>
      <c r="CY8" t="e">
        <f>IF(#REF!,"AAAAAH9v/2Y=",0)</f>
        <v>#REF!</v>
      </c>
      <c r="CZ8" t="e">
        <f>IF(#REF!,"AAAAAH9v/2c=",0)</f>
        <v>#REF!</v>
      </c>
      <c r="DA8" t="e">
        <f>IF(#REF!,"AAAAAH9v/2g=",0)</f>
        <v>#REF!</v>
      </c>
      <c r="DB8" t="e">
        <f>IF(#REF!,"AAAAAH9v/2k=",0)</f>
        <v>#REF!</v>
      </c>
      <c r="DC8" t="e">
        <f>IF(#REF!,"AAAAAH9v/2o=",0)</f>
        <v>#REF!</v>
      </c>
      <c r="DD8" t="e">
        <f>IF(#REF!,"AAAAAH9v/2s=",0)</f>
        <v>#REF!</v>
      </c>
      <c r="DE8" t="e">
        <f>IF(#REF!,"AAAAAH9v/2w=",0)</f>
        <v>#REF!</v>
      </c>
      <c r="DF8" t="e">
        <f>AND(#REF!,"AAAAAH9v/20=")</f>
        <v>#REF!</v>
      </c>
      <c r="DG8" t="e">
        <f>AND(#REF!,"AAAAAH9v/24=")</f>
        <v>#REF!</v>
      </c>
      <c r="DH8" t="e">
        <f>AND(#REF!,"AAAAAH9v/28=")</f>
        <v>#REF!</v>
      </c>
      <c r="DI8" t="e">
        <f>AND(#REF!,"AAAAAH9v/3A=")</f>
        <v>#REF!</v>
      </c>
      <c r="DJ8" t="e">
        <f>AND(#REF!,"AAAAAH9v/3E=")</f>
        <v>#REF!</v>
      </c>
      <c r="DK8" t="e">
        <f>AND(#REF!,"AAAAAH9v/3I=")</f>
        <v>#REF!</v>
      </c>
      <c r="DL8" t="e">
        <f>IF(#REF!,"AAAAAH9v/3M=",0)</f>
        <v>#REF!</v>
      </c>
      <c r="DM8" t="e">
        <f>AND(#REF!,"AAAAAH9v/3Q=")</f>
        <v>#REF!</v>
      </c>
      <c r="DN8" t="e">
        <f>AND(#REF!,"AAAAAH9v/3U=")</f>
        <v>#REF!</v>
      </c>
      <c r="DO8" t="e">
        <f>AND(#REF!,"AAAAAH9v/3Y=")</f>
        <v>#REF!</v>
      </c>
      <c r="DP8" t="e">
        <f>AND(#REF!,"AAAAAH9v/3c=")</f>
        <v>#REF!</v>
      </c>
      <c r="DQ8" t="e">
        <f>AND(#REF!,"AAAAAH9v/3g=")</f>
        <v>#REF!</v>
      </c>
      <c r="DR8" t="e">
        <f>AND(#REF!,"AAAAAH9v/3k=")</f>
        <v>#REF!</v>
      </c>
      <c r="DS8" t="e">
        <f>IF(#REF!,"AAAAAH9v/3o=",0)</f>
        <v>#REF!</v>
      </c>
      <c r="DT8" t="e">
        <f>AND(#REF!,"AAAAAH9v/3s=")</f>
        <v>#REF!</v>
      </c>
      <c r="DU8" t="e">
        <f>AND(#REF!,"AAAAAH9v/3w=")</f>
        <v>#REF!</v>
      </c>
      <c r="DV8" t="e">
        <f>AND(#REF!,"AAAAAH9v/30=")</f>
        <v>#REF!</v>
      </c>
      <c r="DW8" t="e">
        <f>AND(#REF!,"AAAAAH9v/34=")</f>
        <v>#REF!</v>
      </c>
      <c r="DX8" t="e">
        <f>AND(#REF!,"AAAAAH9v/38=")</f>
        <v>#REF!</v>
      </c>
      <c r="DY8" t="e">
        <f>AND(#REF!,"AAAAAH9v/4A=")</f>
        <v>#REF!</v>
      </c>
      <c r="DZ8" t="e">
        <f>IF(#REF!,"AAAAAH9v/4E=",0)</f>
        <v>#REF!</v>
      </c>
      <c r="EA8" t="e">
        <f>AND(#REF!,"AAAAAH9v/4I=")</f>
        <v>#REF!</v>
      </c>
      <c r="EB8" t="e">
        <f>AND(#REF!,"AAAAAH9v/4M=")</f>
        <v>#REF!</v>
      </c>
      <c r="EC8" t="e">
        <f>AND(#REF!,"AAAAAH9v/4Q=")</f>
        <v>#REF!</v>
      </c>
      <c r="ED8" t="e">
        <f>AND(#REF!,"AAAAAH9v/4U=")</f>
        <v>#REF!</v>
      </c>
      <c r="EE8" t="e">
        <f>AND(#REF!,"AAAAAH9v/4Y=")</f>
        <v>#REF!</v>
      </c>
      <c r="EF8" t="e">
        <f>AND(#REF!,"AAAAAH9v/4c=")</f>
        <v>#REF!</v>
      </c>
      <c r="EG8" t="e">
        <f>IF(#REF!,"AAAAAH9v/4g=",0)</f>
        <v>#REF!</v>
      </c>
      <c r="EH8" t="e">
        <f>AND(#REF!,"AAAAAH9v/4k=")</f>
        <v>#REF!</v>
      </c>
      <c r="EI8" t="e">
        <f>AND(#REF!,"AAAAAH9v/4o=")</f>
        <v>#REF!</v>
      </c>
      <c r="EJ8" t="e">
        <f>AND(#REF!,"AAAAAH9v/4s=")</f>
        <v>#REF!</v>
      </c>
      <c r="EK8" t="e">
        <f>AND(#REF!,"AAAAAH9v/4w=")</f>
        <v>#REF!</v>
      </c>
      <c r="EL8" t="e">
        <f>AND(#REF!,"AAAAAH9v/40=")</f>
        <v>#REF!</v>
      </c>
      <c r="EM8" t="e">
        <f>AND(#REF!,"AAAAAH9v/44=")</f>
        <v>#REF!</v>
      </c>
      <c r="EN8" t="e">
        <f>IF(#REF!,"AAAAAH9v/48=",0)</f>
        <v>#REF!</v>
      </c>
      <c r="EO8" t="e">
        <f>AND(#REF!,"AAAAAH9v/5A=")</f>
        <v>#REF!</v>
      </c>
      <c r="EP8" t="e">
        <f>AND(#REF!,"AAAAAH9v/5E=")</f>
        <v>#REF!</v>
      </c>
      <c r="EQ8" t="e">
        <f>AND(#REF!,"AAAAAH9v/5I=")</f>
        <v>#REF!</v>
      </c>
      <c r="ER8" t="e">
        <f>AND(#REF!,"AAAAAH9v/5M=")</f>
        <v>#REF!</v>
      </c>
      <c r="ES8" t="e">
        <f>AND(#REF!,"AAAAAH9v/5Q=")</f>
        <v>#REF!</v>
      </c>
      <c r="ET8" t="e">
        <f>AND(#REF!,"AAAAAH9v/5U=")</f>
        <v>#REF!</v>
      </c>
      <c r="EU8" t="e">
        <f>IF(#REF!,"AAAAAH9v/5Y=",0)</f>
        <v>#REF!</v>
      </c>
      <c r="EV8" t="e">
        <f>AND(#REF!,"AAAAAH9v/5c=")</f>
        <v>#REF!</v>
      </c>
      <c r="EW8" t="e">
        <f>AND(#REF!,"AAAAAH9v/5g=")</f>
        <v>#REF!</v>
      </c>
      <c r="EX8" t="e">
        <f>AND(#REF!,"AAAAAH9v/5k=")</f>
        <v>#REF!</v>
      </c>
      <c r="EY8" t="e">
        <f>AND(#REF!,"AAAAAH9v/5o=")</f>
        <v>#REF!</v>
      </c>
      <c r="EZ8" t="e">
        <f>AND(#REF!,"AAAAAH9v/5s=")</f>
        <v>#REF!</v>
      </c>
      <c r="FA8" t="e">
        <f>AND(#REF!,"AAAAAH9v/5w=")</f>
        <v>#REF!</v>
      </c>
      <c r="FB8" t="e">
        <f>IF(#REF!,"AAAAAH9v/50=",0)</f>
        <v>#REF!</v>
      </c>
      <c r="FC8" t="e">
        <f>AND(#REF!,"AAAAAH9v/54=")</f>
        <v>#REF!</v>
      </c>
      <c r="FD8" t="e">
        <f>AND(#REF!,"AAAAAH9v/58=")</f>
        <v>#REF!</v>
      </c>
      <c r="FE8" t="e">
        <f>AND(#REF!,"AAAAAH9v/6A=")</f>
        <v>#REF!</v>
      </c>
      <c r="FF8" t="e">
        <f>AND(#REF!,"AAAAAH9v/6E=")</f>
        <v>#REF!</v>
      </c>
      <c r="FG8" t="e">
        <f>AND(#REF!,"AAAAAH9v/6I=")</f>
        <v>#REF!</v>
      </c>
      <c r="FH8" t="e">
        <f>AND(#REF!,"AAAAAH9v/6M=")</f>
        <v>#REF!</v>
      </c>
      <c r="FI8" t="e">
        <f>IF(#REF!,"AAAAAH9v/6Q=",0)</f>
        <v>#REF!</v>
      </c>
      <c r="FJ8" t="e">
        <f>AND(#REF!,"AAAAAH9v/6U=")</f>
        <v>#REF!</v>
      </c>
      <c r="FK8" t="e">
        <f>AND(#REF!,"AAAAAH9v/6Y=")</f>
        <v>#REF!</v>
      </c>
      <c r="FL8" t="e">
        <f>AND(#REF!,"AAAAAH9v/6c=")</f>
        <v>#REF!</v>
      </c>
      <c r="FM8" t="e">
        <f>AND(#REF!,"AAAAAH9v/6g=")</f>
        <v>#REF!</v>
      </c>
      <c r="FN8" t="e">
        <f>AND(#REF!,"AAAAAH9v/6k=")</f>
        <v>#REF!</v>
      </c>
      <c r="FO8" t="e">
        <f>AND(#REF!,"AAAAAH9v/6o=")</f>
        <v>#REF!</v>
      </c>
      <c r="FP8" t="e">
        <f>IF(#REF!,"AAAAAH9v/6s=",0)</f>
        <v>#REF!</v>
      </c>
      <c r="FQ8" t="e">
        <f>AND(#REF!,"AAAAAH9v/6w=")</f>
        <v>#REF!</v>
      </c>
      <c r="FR8" t="e">
        <f>AND(#REF!,"AAAAAH9v/60=")</f>
        <v>#REF!</v>
      </c>
      <c r="FS8" t="e">
        <f>AND(#REF!,"AAAAAH9v/64=")</f>
        <v>#REF!</v>
      </c>
      <c r="FT8" t="e">
        <f>AND(#REF!,"AAAAAH9v/68=")</f>
        <v>#REF!</v>
      </c>
      <c r="FU8" t="e">
        <f>AND(#REF!,"AAAAAH9v/7A=")</f>
        <v>#REF!</v>
      </c>
      <c r="FV8" t="e">
        <f>AND(#REF!,"AAAAAH9v/7E=")</f>
        <v>#REF!</v>
      </c>
      <c r="FW8" t="e">
        <f>IF(#REF!,"AAAAAH9v/7I=",0)</f>
        <v>#REF!</v>
      </c>
      <c r="FX8" t="e">
        <f>AND(#REF!,"AAAAAH9v/7M=")</f>
        <v>#REF!</v>
      </c>
      <c r="FY8" t="e">
        <f>AND(#REF!,"AAAAAH9v/7Q=")</f>
        <v>#REF!</v>
      </c>
      <c r="FZ8" t="e">
        <f>AND(#REF!,"AAAAAH9v/7U=")</f>
        <v>#REF!</v>
      </c>
      <c r="GA8" t="e">
        <f>AND(#REF!,"AAAAAH9v/7Y=")</f>
        <v>#REF!</v>
      </c>
      <c r="GB8" t="e">
        <f>AND(#REF!,"AAAAAH9v/7c=")</f>
        <v>#REF!</v>
      </c>
      <c r="GC8" t="e">
        <f>AND(#REF!,"AAAAAH9v/7g=")</f>
        <v>#REF!</v>
      </c>
      <c r="GD8" t="e">
        <f>IF(#REF!,"AAAAAH9v/7k=",0)</f>
        <v>#REF!</v>
      </c>
      <c r="GE8" t="e">
        <f>AND(#REF!,"AAAAAH9v/7o=")</f>
        <v>#REF!</v>
      </c>
      <c r="GF8" t="e">
        <f>AND(#REF!,"AAAAAH9v/7s=")</f>
        <v>#REF!</v>
      </c>
      <c r="GG8" t="e">
        <f>AND(#REF!,"AAAAAH9v/7w=")</f>
        <v>#REF!</v>
      </c>
      <c r="GH8" t="e">
        <f>AND(#REF!,"AAAAAH9v/70=")</f>
        <v>#REF!</v>
      </c>
      <c r="GI8" t="e">
        <f>AND(#REF!,"AAAAAH9v/74=")</f>
        <v>#REF!</v>
      </c>
      <c r="GJ8" t="e">
        <f>AND(#REF!,"AAAAAH9v/78=")</f>
        <v>#REF!</v>
      </c>
      <c r="GK8" t="e">
        <f>IF(#REF!,"AAAAAH9v/8A=",0)</f>
        <v>#REF!</v>
      </c>
      <c r="GL8" t="e">
        <f>AND(#REF!,"AAAAAH9v/8E=")</f>
        <v>#REF!</v>
      </c>
      <c r="GM8" t="e">
        <f>AND(#REF!,"AAAAAH9v/8I=")</f>
        <v>#REF!</v>
      </c>
      <c r="GN8" t="e">
        <f>AND(#REF!,"AAAAAH9v/8M=")</f>
        <v>#REF!</v>
      </c>
      <c r="GO8" t="e">
        <f>AND(#REF!,"AAAAAH9v/8Q=")</f>
        <v>#REF!</v>
      </c>
      <c r="GP8" t="e">
        <f>AND(#REF!,"AAAAAH9v/8U=")</f>
        <v>#REF!</v>
      </c>
      <c r="GQ8" t="e">
        <f>AND(#REF!,"AAAAAH9v/8Y=")</f>
        <v>#REF!</v>
      </c>
      <c r="GR8" t="e">
        <f>IF(#REF!,"AAAAAH9v/8c=",0)</f>
        <v>#REF!</v>
      </c>
      <c r="GS8" t="e">
        <f>AND(#REF!,"AAAAAH9v/8g=")</f>
        <v>#REF!</v>
      </c>
      <c r="GT8" t="e">
        <f>AND(#REF!,"AAAAAH9v/8k=")</f>
        <v>#REF!</v>
      </c>
      <c r="GU8" t="e">
        <f>AND(#REF!,"AAAAAH9v/8o=")</f>
        <v>#REF!</v>
      </c>
      <c r="GV8" t="e">
        <f>AND(#REF!,"AAAAAH9v/8s=")</f>
        <v>#REF!</v>
      </c>
      <c r="GW8" t="e">
        <f>AND(#REF!,"AAAAAH9v/8w=")</f>
        <v>#REF!</v>
      </c>
      <c r="GX8" t="e">
        <f>AND(#REF!,"AAAAAH9v/80=")</f>
        <v>#REF!</v>
      </c>
      <c r="GY8" t="e">
        <f>IF(#REF!,"AAAAAH9v/84=",0)</f>
        <v>#REF!</v>
      </c>
      <c r="GZ8" t="e">
        <f>AND(#REF!,"AAAAAH9v/88=")</f>
        <v>#REF!</v>
      </c>
      <c r="HA8" t="e">
        <f>AND(#REF!,"AAAAAH9v/9A=")</f>
        <v>#REF!</v>
      </c>
      <c r="HB8" t="e">
        <f>AND(#REF!,"AAAAAH9v/9E=")</f>
        <v>#REF!</v>
      </c>
      <c r="HC8" t="e">
        <f>AND(#REF!,"AAAAAH9v/9I=")</f>
        <v>#REF!</v>
      </c>
      <c r="HD8" t="e">
        <f>AND(#REF!,"AAAAAH9v/9M=")</f>
        <v>#REF!</v>
      </c>
      <c r="HE8" t="e">
        <f>AND(#REF!,"AAAAAH9v/9Q=")</f>
        <v>#REF!</v>
      </c>
      <c r="HF8" t="e">
        <f>IF(#REF!,"AAAAAH9v/9U=",0)</f>
        <v>#REF!</v>
      </c>
      <c r="HG8" t="e">
        <f>AND(#REF!,"AAAAAH9v/9Y=")</f>
        <v>#REF!</v>
      </c>
      <c r="HH8" t="e">
        <f>AND(#REF!,"AAAAAH9v/9c=")</f>
        <v>#REF!</v>
      </c>
      <c r="HI8" t="e">
        <f>AND(#REF!,"AAAAAH9v/9g=")</f>
        <v>#REF!</v>
      </c>
      <c r="HJ8" t="e">
        <f>AND(#REF!,"AAAAAH9v/9k=")</f>
        <v>#REF!</v>
      </c>
      <c r="HK8" t="e">
        <f>AND(#REF!,"AAAAAH9v/9o=")</f>
        <v>#REF!</v>
      </c>
      <c r="HL8" t="e">
        <f>AND(#REF!,"AAAAAH9v/9s=")</f>
        <v>#REF!</v>
      </c>
      <c r="HM8" t="e">
        <f>IF(#REF!,"AAAAAH9v/9w=",0)</f>
        <v>#REF!</v>
      </c>
      <c r="HN8" t="e">
        <f>AND(#REF!,"AAAAAH9v/90=")</f>
        <v>#REF!</v>
      </c>
      <c r="HO8" t="e">
        <f>AND(#REF!,"AAAAAH9v/94=")</f>
        <v>#REF!</v>
      </c>
      <c r="HP8" t="e">
        <f>AND(#REF!,"AAAAAH9v/98=")</f>
        <v>#REF!</v>
      </c>
      <c r="HQ8" t="e">
        <f>AND(#REF!,"AAAAAH9v/+A=")</f>
        <v>#REF!</v>
      </c>
      <c r="HR8" t="e">
        <f>AND(#REF!,"AAAAAH9v/+E=")</f>
        <v>#REF!</v>
      </c>
      <c r="HS8" t="e">
        <f>AND(#REF!,"AAAAAH9v/+I=")</f>
        <v>#REF!</v>
      </c>
      <c r="HT8" t="e">
        <f>IF(#REF!,"AAAAAH9v/+M=",0)</f>
        <v>#REF!</v>
      </c>
      <c r="HU8" t="e">
        <f>AND(#REF!,"AAAAAH9v/+Q=")</f>
        <v>#REF!</v>
      </c>
      <c r="HV8" t="e">
        <f>AND(#REF!,"AAAAAH9v/+U=")</f>
        <v>#REF!</v>
      </c>
      <c r="HW8" t="e">
        <f>AND(#REF!,"AAAAAH9v/+Y=")</f>
        <v>#REF!</v>
      </c>
      <c r="HX8" t="e">
        <f>AND(#REF!,"AAAAAH9v/+c=")</f>
        <v>#REF!</v>
      </c>
      <c r="HY8" t="e">
        <f>AND(#REF!,"AAAAAH9v/+g=")</f>
        <v>#REF!</v>
      </c>
      <c r="HZ8" t="e">
        <f>AND(#REF!,"AAAAAH9v/+k=")</f>
        <v>#REF!</v>
      </c>
      <c r="IA8" t="e">
        <f>IF(#REF!,"AAAAAH9v/+o=",0)</f>
        <v>#REF!</v>
      </c>
      <c r="IB8" t="e">
        <f>AND(#REF!,"AAAAAH9v/+s=")</f>
        <v>#REF!</v>
      </c>
      <c r="IC8" t="e">
        <f>AND(#REF!,"AAAAAH9v/+w=")</f>
        <v>#REF!</v>
      </c>
      <c r="ID8" t="e">
        <f>AND(#REF!,"AAAAAH9v/+0=")</f>
        <v>#REF!</v>
      </c>
      <c r="IE8" t="e">
        <f>AND(#REF!,"AAAAAH9v/+4=")</f>
        <v>#REF!</v>
      </c>
      <c r="IF8" t="e">
        <f>AND(#REF!,"AAAAAH9v/+8=")</f>
        <v>#REF!</v>
      </c>
      <c r="IG8" t="e">
        <f>AND(#REF!,"AAAAAH9v//A=")</f>
        <v>#REF!</v>
      </c>
      <c r="IH8" t="e">
        <f>IF(#REF!,"AAAAAH9v//E=",0)</f>
        <v>#REF!</v>
      </c>
      <c r="II8" t="e">
        <f>AND(#REF!,"AAAAAH9v//I=")</f>
        <v>#REF!</v>
      </c>
      <c r="IJ8" t="e">
        <f>AND(#REF!,"AAAAAH9v//M=")</f>
        <v>#REF!</v>
      </c>
      <c r="IK8" t="e">
        <f>AND(#REF!,"AAAAAH9v//Q=")</f>
        <v>#REF!</v>
      </c>
      <c r="IL8" t="e">
        <f>AND(#REF!,"AAAAAH9v//U=")</f>
        <v>#REF!</v>
      </c>
      <c r="IM8" t="e">
        <f>AND(#REF!,"AAAAAH9v//Y=")</f>
        <v>#REF!</v>
      </c>
      <c r="IN8" t="e">
        <f>AND(#REF!,"AAAAAH9v//c=")</f>
        <v>#REF!</v>
      </c>
      <c r="IO8" t="e">
        <f>IF(#REF!,"AAAAAH9v//g=",0)</f>
        <v>#REF!</v>
      </c>
      <c r="IP8" t="e">
        <f>AND(#REF!,"AAAAAH9v//k=")</f>
        <v>#REF!</v>
      </c>
      <c r="IQ8" t="e">
        <f>AND(#REF!,"AAAAAH9v//o=")</f>
        <v>#REF!</v>
      </c>
      <c r="IR8" t="e">
        <f>AND(#REF!,"AAAAAH9v//s=")</f>
        <v>#REF!</v>
      </c>
      <c r="IS8" t="e">
        <f>AND(#REF!,"AAAAAH9v//w=")</f>
        <v>#REF!</v>
      </c>
      <c r="IT8" t="e">
        <f>AND(#REF!,"AAAAAH9v//0=")</f>
        <v>#REF!</v>
      </c>
      <c r="IU8" t="e">
        <f>AND(#REF!,"AAAAAH9v//4=")</f>
        <v>#REF!</v>
      </c>
      <c r="IV8" t="e">
        <f>IF(#REF!,"AAAAAH9v//8=",0)</f>
        <v>#REF!</v>
      </c>
    </row>
    <row r="9" spans="1:256">
      <c r="A9" t="e">
        <f>AND(#REF!,"AAAAAB+d7wA=")</f>
        <v>#REF!</v>
      </c>
      <c r="B9" t="e">
        <f>AND(#REF!,"AAAAAB+d7wE=")</f>
        <v>#REF!</v>
      </c>
      <c r="C9" t="e">
        <f>AND(#REF!,"AAAAAB+d7wI=")</f>
        <v>#REF!</v>
      </c>
      <c r="D9" t="e">
        <f>AND(#REF!,"AAAAAB+d7wM=")</f>
        <v>#REF!</v>
      </c>
      <c r="E9" t="e">
        <f>AND(#REF!,"AAAAAB+d7wQ=")</f>
        <v>#REF!</v>
      </c>
      <c r="F9" t="e">
        <f>AND(#REF!,"AAAAAB+d7wU=")</f>
        <v>#REF!</v>
      </c>
      <c r="G9" t="e">
        <f>IF(#REF!,"AAAAAB+d7wY=",0)</f>
        <v>#REF!</v>
      </c>
      <c r="H9" t="e">
        <f>AND(#REF!,"AAAAAB+d7wc=")</f>
        <v>#REF!</v>
      </c>
      <c r="I9" t="e">
        <f>AND(#REF!,"AAAAAB+d7wg=")</f>
        <v>#REF!</v>
      </c>
      <c r="J9" t="e">
        <f>AND(#REF!,"AAAAAB+d7wk=")</f>
        <v>#REF!</v>
      </c>
      <c r="K9" t="e">
        <f>AND(#REF!,"AAAAAB+d7wo=")</f>
        <v>#REF!</v>
      </c>
      <c r="L9" t="e">
        <f>AND(#REF!,"AAAAAB+d7ws=")</f>
        <v>#REF!</v>
      </c>
      <c r="M9" t="e">
        <f>AND(#REF!,"AAAAAB+d7ww=")</f>
        <v>#REF!</v>
      </c>
      <c r="N9" t="e">
        <f>IF(#REF!,"AAAAAB+d7w0=",0)</f>
        <v>#REF!</v>
      </c>
      <c r="O9" t="e">
        <f>IF(#REF!,"AAAAAB+d7w4=",0)</f>
        <v>#REF!</v>
      </c>
      <c r="P9" t="e">
        <f>IF(#REF!,"AAAAAB+d7w8=",0)</f>
        <v>#REF!</v>
      </c>
      <c r="Q9" t="e">
        <f>IF(#REF!,"AAAAAB+d7xA=",0)</f>
        <v>#REF!</v>
      </c>
      <c r="R9" t="e">
        <f>IF(#REF!,"AAAAAB+d7xE=",0)</f>
        <v>#REF!</v>
      </c>
      <c r="S9" t="e">
        <f>IF(#REF!,"AAAAAB+d7xI=",0)</f>
        <v>#REF!</v>
      </c>
      <c r="T9" t="e">
        <f>IF(#REF!,"AAAAAB+d7xM=",0)</f>
        <v>#REF!</v>
      </c>
      <c r="U9" t="e">
        <f>AND(#REF!,"AAAAAB+d7xQ=")</f>
        <v>#REF!</v>
      </c>
      <c r="V9" t="e">
        <f>AND(#REF!,"AAAAAB+d7xU=")</f>
        <v>#REF!</v>
      </c>
      <c r="W9" t="e">
        <f>AND(#REF!,"AAAAAB+d7xY=")</f>
        <v>#REF!</v>
      </c>
      <c r="X9" t="e">
        <f>AND(#REF!,"AAAAAB+d7xc=")</f>
        <v>#REF!</v>
      </c>
      <c r="Y9" t="e">
        <f>AND(#REF!,"AAAAAB+d7xg=")</f>
        <v>#REF!</v>
      </c>
      <c r="Z9" t="e">
        <f>AND(#REF!,"AAAAAB+d7xk=")</f>
        <v>#REF!</v>
      </c>
      <c r="AA9" t="e">
        <f>IF(#REF!,"AAAAAB+d7xo=",0)</f>
        <v>#REF!</v>
      </c>
      <c r="AB9" t="e">
        <f>AND(#REF!,"AAAAAB+d7xs=")</f>
        <v>#REF!</v>
      </c>
      <c r="AC9" t="e">
        <f>AND(#REF!,"AAAAAB+d7xw=")</f>
        <v>#REF!</v>
      </c>
      <c r="AD9" t="e">
        <f>AND(#REF!,"AAAAAB+d7x0=")</f>
        <v>#REF!</v>
      </c>
      <c r="AE9" t="e">
        <f>AND(#REF!,"AAAAAB+d7x4=")</f>
        <v>#REF!</v>
      </c>
      <c r="AF9" t="e">
        <f>AND(#REF!,"AAAAAB+d7x8=")</f>
        <v>#REF!</v>
      </c>
      <c r="AG9" t="e">
        <f>AND(#REF!,"AAAAAB+d7yA=")</f>
        <v>#REF!</v>
      </c>
      <c r="AH9" t="e">
        <f>IF(#REF!,"AAAAAB+d7yE=",0)</f>
        <v>#REF!</v>
      </c>
      <c r="AI9" t="e">
        <f>AND(#REF!,"AAAAAB+d7yI=")</f>
        <v>#REF!</v>
      </c>
      <c r="AJ9" t="e">
        <f>AND(#REF!,"AAAAAB+d7yM=")</f>
        <v>#REF!</v>
      </c>
      <c r="AK9" t="e">
        <f>AND(#REF!,"AAAAAB+d7yQ=")</f>
        <v>#REF!</v>
      </c>
      <c r="AL9" t="e">
        <f>AND(#REF!,"AAAAAB+d7yU=")</f>
        <v>#REF!</v>
      </c>
      <c r="AM9" t="e">
        <f>AND(#REF!,"AAAAAB+d7yY=")</f>
        <v>#REF!</v>
      </c>
      <c r="AN9" t="e">
        <f>AND(#REF!,"AAAAAB+d7yc=")</f>
        <v>#REF!</v>
      </c>
      <c r="AO9" t="e">
        <f>IF(#REF!,"AAAAAB+d7yg=",0)</f>
        <v>#REF!</v>
      </c>
      <c r="AP9" t="e">
        <f>AND(#REF!,"AAAAAB+d7yk=")</f>
        <v>#REF!</v>
      </c>
      <c r="AQ9" t="e">
        <f>AND(#REF!,"AAAAAB+d7yo=")</f>
        <v>#REF!</v>
      </c>
      <c r="AR9" t="e">
        <f>AND(#REF!,"AAAAAB+d7ys=")</f>
        <v>#REF!</v>
      </c>
      <c r="AS9" t="e">
        <f>AND(#REF!,"AAAAAB+d7yw=")</f>
        <v>#REF!</v>
      </c>
      <c r="AT9" t="e">
        <f>AND(#REF!,"AAAAAB+d7y0=")</f>
        <v>#REF!</v>
      </c>
      <c r="AU9" t="e">
        <f>AND(#REF!,"AAAAAB+d7y4=")</f>
        <v>#REF!</v>
      </c>
      <c r="AV9" t="e">
        <f>IF(#REF!,"AAAAAB+d7y8=",0)</f>
        <v>#REF!</v>
      </c>
      <c r="AW9" t="e">
        <f>AND(#REF!,"AAAAAB+d7zA=")</f>
        <v>#REF!</v>
      </c>
      <c r="AX9" t="e">
        <f>IF(#REF!,"AAAAAB+d7zE=",0)</f>
        <v>#REF!</v>
      </c>
      <c r="AY9" t="e">
        <f>AND(#REF!,"AAAAAB+d7zI=")</f>
        <v>#REF!</v>
      </c>
      <c r="AZ9" t="e">
        <f>IF(#REF!,"AAAAAB+d7zM=",0)</f>
        <v>#REF!</v>
      </c>
      <c r="BA9" t="e">
        <f>AND(#REF!,"AAAAAB+d7zQ=")</f>
        <v>#REF!</v>
      </c>
      <c r="BB9" t="e">
        <f>IF(#REF!,"AAAAAB+d7zU=",0)</f>
        <v>#REF!</v>
      </c>
      <c r="BC9" t="e">
        <f>AND(#REF!,"AAAAAB+d7zY=")</f>
        <v>#REF!</v>
      </c>
      <c r="BD9" t="e">
        <f>IF(#REF!,"AAAAAB+d7zc=",0)</f>
        <v>#REF!</v>
      </c>
      <c r="BE9" t="e">
        <f>AND(#REF!,"AAAAAB+d7zg=")</f>
        <v>#REF!</v>
      </c>
      <c r="BF9" t="e">
        <f>IF(#REF!,"AAAAAB+d7zk=",0)</f>
        <v>#REF!</v>
      </c>
      <c r="BG9" t="e">
        <f>IF(#REF!,"AAAAAB+d7zo=",0)</f>
        <v>#REF!</v>
      </c>
      <c r="BH9" t="e">
        <f>IF(#REF!,"AAAAAB+d7zs=",0)</f>
        <v>#REF!</v>
      </c>
      <c r="BI9" t="e">
        <f>IF(#REF!,"AAAAAB+d7zw=",0)</f>
        <v>#REF!</v>
      </c>
      <c r="BJ9" t="e">
        <f>IF(#REF!,"AAAAAB+d7z0=",0)</f>
        <v>#REF!</v>
      </c>
      <c r="BK9" t="e">
        <f>IF(#REF!,"AAAAAB+d7z4=",0)</f>
        <v>#REF!</v>
      </c>
      <c r="BL9" t="e">
        <f>IF(#REF!,"AAAAAB+d7z8=",0)</f>
        <v>#REF!</v>
      </c>
      <c r="BM9" t="e">
        <f>AND(#REF!,"AAAAAB+d70A=")</f>
        <v>#REF!</v>
      </c>
      <c r="BN9" t="e">
        <f>AND(#REF!,"AAAAAB+d70E=")</f>
        <v>#REF!</v>
      </c>
      <c r="BO9" t="e">
        <f>AND(#REF!,"AAAAAB+d70I=")</f>
        <v>#REF!</v>
      </c>
      <c r="BP9" t="e">
        <f>AND(#REF!,"AAAAAB+d70M=")</f>
        <v>#REF!</v>
      </c>
      <c r="BQ9" t="e">
        <f>AND(#REF!,"AAAAAB+d70Q=")</f>
        <v>#REF!</v>
      </c>
      <c r="BR9" t="e">
        <f>IF(#REF!,"AAAAAB+d70U=",0)</f>
        <v>#REF!</v>
      </c>
      <c r="BS9" t="e">
        <f>AND(#REF!,"AAAAAB+d70Y=")</f>
        <v>#REF!</v>
      </c>
      <c r="BT9" t="e">
        <f>AND(#REF!,"AAAAAB+d70c=")</f>
        <v>#REF!</v>
      </c>
      <c r="BU9" t="e">
        <f>AND(#REF!,"AAAAAB+d70g=")</f>
        <v>#REF!</v>
      </c>
      <c r="BV9" t="e">
        <f>AND(#REF!,"AAAAAB+d70k=")</f>
        <v>#REF!</v>
      </c>
      <c r="BW9" t="e">
        <f>AND(#REF!,"AAAAAB+d70o=")</f>
        <v>#REF!</v>
      </c>
      <c r="BX9" t="e">
        <f>IF(#REF!,"AAAAAB+d70s=",0)</f>
        <v>#REF!</v>
      </c>
      <c r="BY9" t="e">
        <f>AND(#REF!,"AAAAAB+d70w=")</f>
        <v>#REF!</v>
      </c>
      <c r="BZ9" t="e">
        <f>AND(#REF!,"AAAAAB+d700=")</f>
        <v>#REF!</v>
      </c>
      <c r="CA9" t="e">
        <f>AND(#REF!,"AAAAAB+d704=")</f>
        <v>#REF!</v>
      </c>
      <c r="CB9" t="e">
        <f>AND(#REF!,"AAAAAB+d708=")</f>
        <v>#REF!</v>
      </c>
      <c r="CC9" t="e">
        <f>AND(#REF!,"AAAAAB+d71A=")</f>
        <v>#REF!</v>
      </c>
      <c r="CD9" t="e">
        <f>IF(#REF!,"AAAAAB+d71E=",0)</f>
        <v>#REF!</v>
      </c>
      <c r="CE9" t="e">
        <f>AND(#REF!,"AAAAAB+d71I=")</f>
        <v>#REF!</v>
      </c>
      <c r="CF9" t="e">
        <f>AND(#REF!,"AAAAAB+d71M=")</f>
        <v>#REF!</v>
      </c>
      <c r="CG9" t="e">
        <f>AND(#REF!,"AAAAAB+d71Q=")</f>
        <v>#REF!</v>
      </c>
      <c r="CH9" t="e">
        <f>AND(#REF!,"AAAAAB+d71U=")</f>
        <v>#REF!</v>
      </c>
      <c r="CI9" t="e">
        <f>AND(#REF!,"AAAAAB+d71Y=")</f>
        <v>#REF!</v>
      </c>
      <c r="CJ9" t="e">
        <f>IF(#REF!,"AAAAAB+d71c=",0)</f>
        <v>#REF!</v>
      </c>
      <c r="CK9" t="e">
        <f>AND(#REF!,"AAAAAB+d71g=")</f>
        <v>#REF!</v>
      </c>
      <c r="CL9" t="e">
        <f>IF(#REF!,"AAAAAB+d71k=",0)</f>
        <v>#REF!</v>
      </c>
      <c r="CM9" t="e">
        <f>AND(#REF!,"AAAAAB+d71o=")</f>
        <v>#REF!</v>
      </c>
      <c r="CN9" t="e">
        <f>IF(#REF!,"AAAAAB+d71s=",0)</f>
        <v>#REF!</v>
      </c>
      <c r="CO9" t="e">
        <f>AND(#REF!,"AAAAAB+d71w=")</f>
        <v>#REF!</v>
      </c>
      <c r="CP9" t="e">
        <f>IF(#REF!,"AAAAAB+d710=",0)</f>
        <v>#REF!</v>
      </c>
      <c r="CQ9" t="e">
        <f>AND(#REF!,"AAAAAB+d714=")</f>
        <v>#REF!</v>
      </c>
      <c r="CR9" t="e">
        <f>IF(#REF!,"AAAAAB+d718=",0)</f>
        <v>#REF!</v>
      </c>
      <c r="CS9" t="e">
        <f>IF(#REF!,"AAAAAB+d72A=",0)</f>
        <v>#REF!</v>
      </c>
      <c r="CT9" t="e">
        <f>IF(#REF!,"AAAAAB+d72E=",0)</f>
        <v>#REF!</v>
      </c>
      <c r="CU9" t="e">
        <f>IF(#REF!,"AAAAAB+d72I=",0)</f>
        <v>#REF!</v>
      </c>
      <c r="CV9" t="e">
        <f>IF(#REF!,"AAAAAB+d72M=",0)</f>
        <v>#REF!</v>
      </c>
      <c r="CW9" t="e">
        <f>IF(#REF!,"AAAAAB+d72Q=",0)</f>
        <v>#REF!</v>
      </c>
      <c r="CX9" t="e">
        <f>AND(#REF!,"AAAAAB+d72U=")</f>
        <v>#REF!</v>
      </c>
      <c r="CY9" t="e">
        <f>AND(#REF!,"AAAAAB+d72Y=")</f>
        <v>#REF!</v>
      </c>
      <c r="CZ9" t="e">
        <f>AND(#REF!,"AAAAAB+d72c=")</f>
        <v>#REF!</v>
      </c>
      <c r="DA9" t="e">
        <f>AND(#REF!,"AAAAAB+d72g=")</f>
        <v>#REF!</v>
      </c>
      <c r="DB9" t="e">
        <f>IF(#REF!,"AAAAAB+d72k=",0)</f>
        <v>#REF!</v>
      </c>
      <c r="DC9" t="e">
        <f>AND(#REF!,"AAAAAB+d72o=")</f>
        <v>#REF!</v>
      </c>
      <c r="DD9" t="e">
        <f>AND(#REF!,"AAAAAB+d72s=")</f>
        <v>#REF!</v>
      </c>
      <c r="DE9" t="e">
        <f>AND(#REF!,"AAAAAB+d72w=")</f>
        <v>#REF!</v>
      </c>
      <c r="DF9" t="e">
        <f>AND(#REF!,"AAAAAB+d720=")</f>
        <v>#REF!</v>
      </c>
      <c r="DG9" t="e">
        <f>IF(#REF!,"AAAAAB+d724=",0)</f>
        <v>#REF!</v>
      </c>
      <c r="DH9" t="e">
        <f>AND(#REF!,"AAAAAB+d728=")</f>
        <v>#REF!</v>
      </c>
      <c r="DI9" t="e">
        <f>AND(#REF!,"AAAAAB+d73A=")</f>
        <v>#REF!</v>
      </c>
      <c r="DJ9" t="e">
        <f>AND(#REF!,"AAAAAB+d73E=")</f>
        <v>#REF!</v>
      </c>
      <c r="DK9" t="e">
        <f>AND(#REF!,"AAAAAB+d73I=")</f>
        <v>#REF!</v>
      </c>
      <c r="DL9" t="e">
        <f>IF(#REF!,"AAAAAB+d73M=",0)</f>
        <v>#REF!</v>
      </c>
      <c r="DM9" t="e">
        <f>AND(#REF!,"AAAAAB+d73Q=")</f>
        <v>#REF!</v>
      </c>
      <c r="DN9" t="e">
        <f>AND(#REF!,"AAAAAB+d73U=")</f>
        <v>#REF!</v>
      </c>
      <c r="DO9" t="e">
        <f>AND(#REF!,"AAAAAB+d73Y=")</f>
        <v>#REF!</v>
      </c>
      <c r="DP9" t="e">
        <f>AND(#REF!,"AAAAAB+d73c=")</f>
        <v>#REF!</v>
      </c>
      <c r="DQ9" t="e">
        <f>IF(#REF!,"AAAAAB+d73g=",0)</f>
        <v>#REF!</v>
      </c>
      <c r="DR9" t="e">
        <f>AND(#REF!,"AAAAAB+d73k=")</f>
        <v>#REF!</v>
      </c>
      <c r="DS9" t="e">
        <f>AND(#REF!,"AAAAAB+d73o=")</f>
        <v>#REF!</v>
      </c>
      <c r="DT9" t="e">
        <f>AND(#REF!,"AAAAAB+d73s=")</f>
        <v>#REF!</v>
      </c>
      <c r="DU9" t="e">
        <f>AND(#REF!,"AAAAAB+d73w=")</f>
        <v>#REF!</v>
      </c>
      <c r="DV9" t="e">
        <f>IF(#REF!,"AAAAAB+d730=",0)</f>
        <v>#REF!</v>
      </c>
      <c r="DW9" t="e">
        <f>AND(#REF!,"AAAAAB+d734=")</f>
        <v>#REF!</v>
      </c>
      <c r="DX9" t="e">
        <f>AND(#REF!,"AAAAAB+d738=")</f>
        <v>#REF!</v>
      </c>
      <c r="DY9" t="e">
        <f>AND(#REF!,"AAAAAB+d74A=")</f>
        <v>#REF!</v>
      </c>
      <c r="DZ9" t="e">
        <f>AND(#REF!,"AAAAAB+d74E=")</f>
        <v>#REF!</v>
      </c>
      <c r="EA9" t="e">
        <f>IF(#REF!,"AAAAAB+d74I=",0)</f>
        <v>#REF!</v>
      </c>
      <c r="EB9" t="e">
        <f>AND(#REF!,"AAAAAB+d74M=")</f>
        <v>#REF!</v>
      </c>
      <c r="EC9" t="e">
        <f>AND(#REF!,"AAAAAB+d74Q=")</f>
        <v>#REF!</v>
      </c>
      <c r="ED9" t="e">
        <f>AND(#REF!,"AAAAAB+d74U=")</f>
        <v>#REF!</v>
      </c>
      <c r="EE9" t="e">
        <f>AND(#REF!,"AAAAAB+d74Y=")</f>
        <v>#REF!</v>
      </c>
      <c r="EF9" t="e">
        <f>IF(#REF!,"AAAAAB+d74c=",0)</f>
        <v>#REF!</v>
      </c>
      <c r="EG9" t="e">
        <f>AND(#REF!,"AAAAAB+d74g=")</f>
        <v>#REF!</v>
      </c>
      <c r="EH9" t="e">
        <f>AND(#REF!,"AAAAAB+d74k=")</f>
        <v>#REF!</v>
      </c>
      <c r="EI9" t="e">
        <f>AND(#REF!,"AAAAAB+d74o=")</f>
        <v>#REF!</v>
      </c>
      <c r="EJ9" t="e">
        <f>AND(#REF!,"AAAAAB+d74s=")</f>
        <v>#REF!</v>
      </c>
      <c r="EK9" t="e">
        <f>IF(#REF!,"AAAAAB+d74w=",0)</f>
        <v>#REF!</v>
      </c>
      <c r="EL9" t="e">
        <f>AND(#REF!,"AAAAAB+d740=")</f>
        <v>#REF!</v>
      </c>
      <c r="EM9" t="e">
        <f>IF(#REF!,"AAAAAB+d744=",0)</f>
        <v>#REF!</v>
      </c>
      <c r="EN9" t="e">
        <f>AND(#REF!,"AAAAAB+d748=")</f>
        <v>#REF!</v>
      </c>
      <c r="EO9" t="e">
        <f>IF(#REF!,"AAAAAB+d75A=",0)</f>
        <v>#REF!</v>
      </c>
      <c r="EP9" t="e">
        <f>AND(#REF!,"AAAAAB+d75E=")</f>
        <v>#REF!</v>
      </c>
      <c r="EQ9" t="e">
        <f>IF(#REF!,"AAAAAB+d75I=",0)</f>
        <v>#REF!</v>
      </c>
      <c r="ER9" t="e">
        <f>AND(#REF!,"AAAAAB+d75M=")</f>
        <v>#REF!</v>
      </c>
      <c r="ES9" t="e">
        <f>IF(#REF!,"AAAAAB+d75Q=",0)</f>
        <v>#REF!</v>
      </c>
      <c r="ET9" t="e">
        <f>IF(#REF!,"AAAAAB+d75U=",0)</f>
        <v>#REF!</v>
      </c>
      <c r="EU9" t="e">
        <f>IF(#REF!,"AAAAAB+d75Y=",0)</f>
        <v>#REF!</v>
      </c>
      <c r="EV9" t="e">
        <f>IF(#REF!,"AAAAAB+d75c=",0)</f>
        <v>#REF!</v>
      </c>
      <c r="EW9" t="e">
        <f>IF(#REF!,"AAAAAB+d75g=",0)</f>
        <v>#REF!</v>
      </c>
      <c r="EX9" t="e">
        <f>AND(#REF!,"AAAAAB+d75k=")</f>
        <v>#REF!</v>
      </c>
      <c r="EY9" t="e">
        <f>AND(#REF!,"AAAAAB+d75o=")</f>
        <v>#REF!</v>
      </c>
      <c r="EZ9" t="e">
        <f>AND(#REF!,"AAAAAB+d75s=")</f>
        <v>#REF!</v>
      </c>
      <c r="FA9" t="e">
        <f>AND(#REF!,"AAAAAB+d75w=")</f>
        <v>#REF!</v>
      </c>
      <c r="FB9" t="e">
        <f>AND(#REF!,"AAAAAB+d750=")</f>
        <v>#REF!</v>
      </c>
      <c r="FC9" t="e">
        <f>IF(#REF!,"AAAAAB+d754=",0)</f>
        <v>#REF!</v>
      </c>
      <c r="FD9" t="e">
        <f>AND(#REF!,"AAAAAB+d758=")</f>
        <v>#REF!</v>
      </c>
      <c r="FE9" t="e">
        <f>AND(#REF!,"AAAAAB+d76A=")</f>
        <v>#REF!</v>
      </c>
      <c r="FF9" t="e">
        <f>AND(#REF!,"AAAAAB+d76E=")</f>
        <v>#REF!</v>
      </c>
      <c r="FG9" t="e">
        <f>AND(#REF!,"AAAAAB+d76I=")</f>
        <v>#REF!</v>
      </c>
      <c r="FH9" t="e">
        <f>AND(#REF!,"AAAAAB+d76M=")</f>
        <v>#REF!</v>
      </c>
      <c r="FI9" t="e">
        <f>IF(#REF!,"AAAAAB+d76Q=",0)</f>
        <v>#REF!</v>
      </c>
      <c r="FJ9" t="e">
        <f>AND(#REF!,"AAAAAB+d76U=")</f>
        <v>#REF!</v>
      </c>
      <c r="FK9" t="e">
        <f>AND(#REF!,"AAAAAB+d76Y=")</f>
        <v>#REF!</v>
      </c>
      <c r="FL9" t="e">
        <f>AND(#REF!,"AAAAAB+d76c=")</f>
        <v>#REF!</v>
      </c>
      <c r="FM9" t="e">
        <f>AND(#REF!,"AAAAAB+d76g=")</f>
        <v>#REF!</v>
      </c>
      <c r="FN9" t="e">
        <f>AND(#REF!,"AAAAAB+d76k=")</f>
        <v>#REF!</v>
      </c>
      <c r="FO9" t="e">
        <f>IF(#REF!,"AAAAAB+d76o=",0)</f>
        <v>#REF!</v>
      </c>
      <c r="FP9" t="e">
        <f>AND(#REF!,"AAAAAB+d76s=")</f>
        <v>#REF!</v>
      </c>
      <c r="FQ9" t="e">
        <f>AND(#REF!,"AAAAAB+d76w=")</f>
        <v>#REF!</v>
      </c>
      <c r="FR9" t="e">
        <f>AND(#REF!,"AAAAAB+d760=")</f>
        <v>#REF!</v>
      </c>
      <c r="FS9" t="e">
        <f>AND(#REF!,"AAAAAB+d764=")</f>
        <v>#REF!</v>
      </c>
      <c r="FT9" t="e">
        <f>AND(#REF!,"AAAAAB+d768=")</f>
        <v>#REF!</v>
      </c>
      <c r="FU9" t="e">
        <f>IF(#REF!,"AAAAAB+d77A=",0)</f>
        <v>#REF!</v>
      </c>
      <c r="FV9" t="e">
        <f>AND(#REF!,"AAAAAB+d77E=")</f>
        <v>#REF!</v>
      </c>
      <c r="FW9" t="e">
        <f>AND(#REF!,"AAAAAB+d77I=")</f>
        <v>#REF!</v>
      </c>
      <c r="FX9" t="e">
        <f>AND(#REF!,"AAAAAB+d77M=")</f>
        <v>#REF!</v>
      </c>
      <c r="FY9" t="e">
        <f>AND(#REF!,"AAAAAB+d77Q=")</f>
        <v>#REF!</v>
      </c>
      <c r="FZ9" t="e">
        <f>AND(#REF!,"AAAAAB+d77U=")</f>
        <v>#REF!</v>
      </c>
      <c r="GA9" t="e">
        <f>IF(#REF!,"AAAAAB+d77Y=",0)</f>
        <v>#REF!</v>
      </c>
      <c r="GB9" t="e">
        <f>AND(#REF!,"AAAAAB+d77c=")</f>
        <v>#REF!</v>
      </c>
      <c r="GC9" t="e">
        <f>AND(#REF!,"AAAAAB+d77g=")</f>
        <v>#REF!</v>
      </c>
      <c r="GD9" t="e">
        <f>AND(#REF!,"AAAAAB+d77k=")</f>
        <v>#REF!</v>
      </c>
      <c r="GE9" t="e">
        <f>AND(#REF!,"AAAAAB+d77o=")</f>
        <v>#REF!</v>
      </c>
      <c r="GF9" t="e">
        <f>AND(#REF!,"AAAAAB+d77s=")</f>
        <v>#REF!</v>
      </c>
      <c r="GG9" t="e">
        <f>IF(#REF!,"AAAAAB+d77w=",0)</f>
        <v>#REF!</v>
      </c>
      <c r="GH9" t="e">
        <f>AND(#REF!,"AAAAAB+d770=")</f>
        <v>#REF!</v>
      </c>
      <c r="GI9" t="e">
        <f>AND(#REF!,"AAAAAB+d774=")</f>
        <v>#REF!</v>
      </c>
      <c r="GJ9" t="e">
        <f>AND(#REF!,"AAAAAB+d778=")</f>
        <v>#REF!</v>
      </c>
      <c r="GK9" t="e">
        <f>AND(#REF!,"AAAAAB+d78A=")</f>
        <v>#REF!</v>
      </c>
      <c r="GL9" t="e">
        <f>AND(#REF!,"AAAAAB+d78E=")</f>
        <v>#REF!</v>
      </c>
      <c r="GM9" t="e">
        <f>IF(#REF!,"AAAAAB+d78I=",0)</f>
        <v>#REF!</v>
      </c>
      <c r="GN9" t="e">
        <f>AND(#REF!,"AAAAAB+d78M=")</f>
        <v>#REF!</v>
      </c>
      <c r="GO9" t="e">
        <f>AND(#REF!,"AAAAAB+d78Q=")</f>
        <v>#REF!</v>
      </c>
      <c r="GP9" t="e">
        <f>AND(#REF!,"AAAAAB+d78U=")</f>
        <v>#REF!</v>
      </c>
      <c r="GQ9" t="e">
        <f>AND(#REF!,"AAAAAB+d78Y=")</f>
        <v>#REF!</v>
      </c>
      <c r="GR9" t="e">
        <f>AND(#REF!,"AAAAAB+d78c=")</f>
        <v>#REF!</v>
      </c>
      <c r="GS9" t="e">
        <f>IF(#REF!,"AAAAAB+d78g=",0)</f>
        <v>#REF!</v>
      </c>
      <c r="GT9" t="e">
        <f>AND(#REF!,"AAAAAB+d78k=")</f>
        <v>#REF!</v>
      </c>
      <c r="GU9" t="e">
        <f>AND(#REF!,"AAAAAB+d78o=")</f>
        <v>#REF!</v>
      </c>
      <c r="GV9" t="e">
        <f>AND(#REF!,"AAAAAB+d78s=")</f>
        <v>#REF!</v>
      </c>
      <c r="GW9" t="e">
        <f>AND(#REF!,"AAAAAB+d78w=")</f>
        <v>#REF!</v>
      </c>
      <c r="GX9" t="e">
        <f>AND(#REF!,"AAAAAB+d780=")</f>
        <v>#REF!</v>
      </c>
      <c r="GY9" t="e">
        <f>IF(#REF!,"AAAAAB+d784=",0)</f>
        <v>#REF!</v>
      </c>
      <c r="GZ9" t="e">
        <f>AND(#REF!,"AAAAAB+d788=")</f>
        <v>#REF!</v>
      </c>
      <c r="HA9" t="e">
        <f>AND(#REF!,"AAAAAB+d79A=")</f>
        <v>#REF!</v>
      </c>
      <c r="HB9" t="e">
        <f>AND(#REF!,"AAAAAB+d79E=")</f>
        <v>#REF!</v>
      </c>
      <c r="HC9" t="e">
        <f>AND(#REF!,"AAAAAB+d79I=")</f>
        <v>#REF!</v>
      </c>
      <c r="HD9" t="e">
        <f>AND(#REF!,"AAAAAB+d79M=")</f>
        <v>#REF!</v>
      </c>
      <c r="HE9" t="e">
        <f>IF(#REF!,"AAAAAB+d79Q=",0)</f>
        <v>#REF!</v>
      </c>
      <c r="HF9" t="e">
        <f>AND(#REF!,"AAAAAB+d79U=")</f>
        <v>#REF!</v>
      </c>
      <c r="HG9" t="e">
        <f>AND(#REF!,"AAAAAB+d79Y=")</f>
        <v>#REF!</v>
      </c>
      <c r="HH9" t="e">
        <f>AND(#REF!,"AAAAAB+d79c=")</f>
        <v>#REF!</v>
      </c>
      <c r="HI9" t="e">
        <f>AND(#REF!,"AAAAAB+d79g=")</f>
        <v>#REF!</v>
      </c>
      <c r="HJ9" t="e">
        <f>AND(#REF!,"AAAAAB+d79k=")</f>
        <v>#REF!</v>
      </c>
      <c r="HK9" t="e">
        <f>IF(#REF!,"AAAAAB+d79o=",0)</f>
        <v>#REF!</v>
      </c>
      <c r="HL9" t="e">
        <f>AND(#REF!,"AAAAAB+d79s=")</f>
        <v>#REF!</v>
      </c>
      <c r="HM9" t="e">
        <f>AND(#REF!,"AAAAAB+d79w=")</f>
        <v>#REF!</v>
      </c>
      <c r="HN9" t="e">
        <f>AND(#REF!,"AAAAAB+d790=")</f>
        <v>#REF!</v>
      </c>
      <c r="HO9" t="e">
        <f>AND(#REF!,"AAAAAB+d794=")</f>
        <v>#REF!</v>
      </c>
      <c r="HP9" t="e">
        <f>AND(#REF!,"AAAAAB+d798=")</f>
        <v>#REF!</v>
      </c>
      <c r="HQ9" t="e">
        <f>IF(#REF!,"AAAAAB+d7+A=",0)</f>
        <v>#REF!</v>
      </c>
      <c r="HR9" t="e">
        <f>AND(#REF!,"AAAAAB+d7+E=")</f>
        <v>#REF!</v>
      </c>
      <c r="HS9" t="e">
        <f>AND(#REF!,"AAAAAB+d7+I=")</f>
        <v>#REF!</v>
      </c>
      <c r="HT9" t="e">
        <f>AND(#REF!,"AAAAAB+d7+M=")</f>
        <v>#REF!</v>
      </c>
      <c r="HU9" t="e">
        <f>AND(#REF!,"AAAAAB+d7+Q=")</f>
        <v>#REF!</v>
      </c>
      <c r="HV9" t="e">
        <f>AND(#REF!,"AAAAAB+d7+U=")</f>
        <v>#REF!</v>
      </c>
      <c r="HW9" t="e">
        <f>IF(#REF!,"AAAAAB+d7+Y=",0)</f>
        <v>#REF!</v>
      </c>
      <c r="HX9" t="e">
        <f>AND(#REF!,"AAAAAB+d7+c=")</f>
        <v>#REF!</v>
      </c>
      <c r="HY9" t="e">
        <f>AND(#REF!,"AAAAAB+d7+g=")</f>
        <v>#REF!</v>
      </c>
      <c r="HZ9" t="e">
        <f>AND(#REF!,"AAAAAB+d7+k=")</f>
        <v>#REF!</v>
      </c>
      <c r="IA9" t="e">
        <f>AND(#REF!,"AAAAAB+d7+o=")</f>
        <v>#REF!</v>
      </c>
      <c r="IB9" t="e">
        <f>AND(#REF!,"AAAAAB+d7+s=")</f>
        <v>#REF!</v>
      </c>
      <c r="IC9" t="e">
        <f>IF(#REF!,"AAAAAB+d7+w=",0)</f>
        <v>#REF!</v>
      </c>
      <c r="ID9" t="e">
        <f>AND(#REF!,"AAAAAB+d7+0=")</f>
        <v>#REF!</v>
      </c>
      <c r="IE9" t="e">
        <f>AND(#REF!,"AAAAAB+d7+4=")</f>
        <v>#REF!</v>
      </c>
      <c r="IF9" t="e">
        <f>AND(#REF!,"AAAAAB+d7+8=")</f>
        <v>#REF!</v>
      </c>
      <c r="IG9" t="e">
        <f>AND(#REF!,"AAAAAB+d7/A=")</f>
        <v>#REF!</v>
      </c>
      <c r="IH9" t="e">
        <f>AND(#REF!,"AAAAAB+d7/E=")</f>
        <v>#REF!</v>
      </c>
      <c r="II9" t="e">
        <f>IF(#REF!,"AAAAAB+d7/I=",0)</f>
        <v>#REF!</v>
      </c>
      <c r="IJ9" t="e">
        <f>AND(#REF!,"AAAAAB+d7/M=")</f>
        <v>#REF!</v>
      </c>
      <c r="IK9" t="e">
        <f>IF(#REF!,"AAAAAB+d7/Q=",0)</f>
        <v>#REF!</v>
      </c>
      <c r="IL9" t="e">
        <f>AND(#REF!,"AAAAAB+d7/U=")</f>
        <v>#REF!</v>
      </c>
      <c r="IM9" t="e">
        <f>IF(#REF!,"AAAAAB+d7/Y=",0)</f>
        <v>#REF!</v>
      </c>
      <c r="IN9" t="e">
        <f>AND(#REF!,"AAAAAB+d7/c=")</f>
        <v>#REF!</v>
      </c>
      <c r="IO9" t="e">
        <f>IF(#REF!,"AAAAAB+d7/g=",0)</f>
        <v>#REF!</v>
      </c>
      <c r="IP9" t="e">
        <f>AND(#REF!,"AAAAAB+d7/k=")</f>
        <v>#REF!</v>
      </c>
      <c r="IQ9" t="e">
        <f>IF(#REF!,"AAAAAB+d7/o=",0)</f>
        <v>#REF!</v>
      </c>
      <c r="IR9" t="e">
        <f>AND(#REF!,"AAAAAB+d7/s=")</f>
        <v>#REF!</v>
      </c>
      <c r="IS9" t="e">
        <f>IF(#REF!,"AAAAAB+d7/w=",0)</f>
        <v>#REF!</v>
      </c>
      <c r="IT9" t="e">
        <f>AND(#REF!,"AAAAAB+d7/0=")</f>
        <v>#REF!</v>
      </c>
      <c r="IU9" t="e">
        <f>IF(#REF!,"AAAAAB+d7/4=",0)</f>
        <v>#REF!</v>
      </c>
      <c r="IV9" t="e">
        <f>IF(#REF!,"AAAAAB+d7/8=",0)</f>
        <v>#REF!</v>
      </c>
    </row>
    <row r="10" spans="1:256">
      <c r="A10" t="e">
        <f>IF(#REF!,"AAAAAHKleAA=",0)</f>
        <v>#REF!</v>
      </c>
      <c r="B10" t="e">
        <f>IF(#REF!,"AAAAAHKleAE=",0)</f>
        <v>#REF!</v>
      </c>
      <c r="C10" t="e">
        <f>IF(#REF!,"AAAAAHKleAI=",0)</f>
        <v>#REF!</v>
      </c>
      <c r="D10" t="e">
        <f>IF(#REF!,"AAAAAHKleAM=",0)</f>
        <v>#REF!</v>
      </c>
      <c r="E10" t="e">
        <f>AND(#REF!,"AAAAAHKleAQ=")</f>
        <v>#REF!</v>
      </c>
      <c r="F10" t="e">
        <f>AND(#REF!,"AAAAAHKleAU=")</f>
        <v>#REF!</v>
      </c>
      <c r="G10" t="e">
        <f>AND(#REF!,"AAAAAHKleAY=")</f>
        <v>#REF!</v>
      </c>
      <c r="H10" t="e">
        <f>AND(#REF!,"AAAAAHKleAc=")</f>
        <v>#REF!</v>
      </c>
      <c r="I10" t="e">
        <f>AND(#REF!,"AAAAAHKleAg=")</f>
        <v>#REF!</v>
      </c>
      <c r="J10" t="e">
        <f>AND(#REF!,"AAAAAHKleAk=")</f>
        <v>#REF!</v>
      </c>
      <c r="K10" t="e">
        <f>AND(#REF!,"AAAAAHKleAo=")</f>
        <v>#REF!</v>
      </c>
      <c r="L10" t="e">
        <f>IF(#REF!,"AAAAAHKleAs=",0)</f>
        <v>#REF!</v>
      </c>
      <c r="M10" t="e">
        <f>AND(#REF!,"AAAAAHKleAw=")</f>
        <v>#REF!</v>
      </c>
      <c r="N10" t="e">
        <f>AND(#REF!,"AAAAAHKleA0=")</f>
        <v>#REF!</v>
      </c>
      <c r="O10" t="e">
        <f>AND(#REF!,"AAAAAHKleA4=")</f>
        <v>#REF!</v>
      </c>
      <c r="P10" t="e">
        <f>AND(#REF!,"AAAAAHKleA8=")</f>
        <v>#REF!</v>
      </c>
      <c r="Q10" t="e">
        <f>AND(#REF!,"AAAAAHKleBA=")</f>
        <v>#REF!</v>
      </c>
      <c r="R10" t="e">
        <f>AND(#REF!,"AAAAAHKleBE=")</f>
        <v>#REF!</v>
      </c>
      <c r="S10" t="e">
        <f>AND(#REF!,"AAAAAHKleBI=")</f>
        <v>#REF!</v>
      </c>
      <c r="T10" t="e">
        <f>IF(#REF!,"AAAAAHKleBM=",0)</f>
        <v>#REF!</v>
      </c>
      <c r="U10" t="e">
        <f>AND(#REF!,"AAAAAHKleBQ=")</f>
        <v>#REF!</v>
      </c>
      <c r="V10" t="e">
        <f>AND(#REF!,"AAAAAHKleBU=")</f>
        <v>#REF!</v>
      </c>
      <c r="W10" t="e">
        <f>AND(#REF!,"AAAAAHKleBY=")</f>
        <v>#REF!</v>
      </c>
      <c r="X10" t="e">
        <f>AND(#REF!,"AAAAAHKleBc=")</f>
        <v>#REF!</v>
      </c>
      <c r="Y10" t="e">
        <f>AND(#REF!,"AAAAAHKleBg=")</f>
        <v>#REF!</v>
      </c>
      <c r="Z10" t="e">
        <f>AND(#REF!,"AAAAAHKleBk=")</f>
        <v>#REF!</v>
      </c>
      <c r="AA10" t="e">
        <f>AND(#REF!,"AAAAAHKleBo=")</f>
        <v>#REF!</v>
      </c>
      <c r="AB10" t="e">
        <f>IF(#REF!,"AAAAAHKleBs=",0)</f>
        <v>#REF!</v>
      </c>
      <c r="AC10" t="e">
        <f>AND(#REF!,"AAAAAHKleBw=")</f>
        <v>#REF!</v>
      </c>
      <c r="AD10" t="e">
        <f>AND(#REF!,"AAAAAHKleB0=")</f>
        <v>#REF!</v>
      </c>
      <c r="AE10" t="e">
        <f>AND(#REF!,"AAAAAHKleB4=")</f>
        <v>#REF!</v>
      </c>
      <c r="AF10" t="e">
        <f>AND(#REF!,"AAAAAHKleB8=")</f>
        <v>#REF!</v>
      </c>
      <c r="AG10" t="e">
        <f>AND(#REF!,"AAAAAHKleCA=")</f>
        <v>#REF!</v>
      </c>
      <c r="AH10" t="e">
        <f>AND(#REF!,"AAAAAHKleCE=")</f>
        <v>#REF!</v>
      </c>
      <c r="AI10" t="e">
        <f>AND(#REF!,"AAAAAHKleCI=")</f>
        <v>#REF!</v>
      </c>
      <c r="AJ10" t="e">
        <f>IF(#REF!,"AAAAAHKleCM=",0)</f>
        <v>#REF!</v>
      </c>
      <c r="AK10" t="e">
        <f>AND(#REF!,"AAAAAHKleCQ=")</f>
        <v>#REF!</v>
      </c>
      <c r="AL10" t="e">
        <f>IF(#REF!,"AAAAAHKleCU=",0)</f>
        <v>#REF!</v>
      </c>
      <c r="AM10" t="e">
        <f>AND(#REF!,"AAAAAHKleCY=")</f>
        <v>#REF!</v>
      </c>
      <c r="AN10" t="e">
        <f>IF(#REF!,"AAAAAHKleCc=",0)</f>
        <v>#REF!</v>
      </c>
      <c r="AO10" t="e">
        <f>AND(#REF!,"AAAAAHKleCg=")</f>
        <v>#REF!</v>
      </c>
      <c r="AP10" t="e">
        <f>IF(#REF!,"AAAAAHKleCk=",0)</f>
        <v>#REF!</v>
      </c>
      <c r="AQ10" t="e">
        <f>AND(#REF!,"AAAAAHKleCo=")</f>
        <v>#REF!</v>
      </c>
      <c r="AR10" t="e">
        <f>IF(#REF!,"AAAAAHKleCs=",0)</f>
        <v>#REF!</v>
      </c>
      <c r="AS10" t="e">
        <f>AND(#REF!,"AAAAAHKleCw=")</f>
        <v>#REF!</v>
      </c>
      <c r="AT10" t="e">
        <f>IF(#REF!,"AAAAAHKleC0=",0)</f>
        <v>#REF!</v>
      </c>
      <c r="AU10" t="e">
        <f>AND(#REF!,"AAAAAHKleC4=")</f>
        <v>#REF!</v>
      </c>
      <c r="AV10" t="e">
        <f>IF(#REF!,"AAAAAHKleC8=",0)</f>
        <v>#REF!</v>
      </c>
      <c r="AW10" t="e">
        <f>IF(#REF!,"AAAAAHKleDA=",0)</f>
        <v>#REF!</v>
      </c>
      <c r="AX10" t="e">
        <f>IF(#REF!,"AAAAAHKleDE=",0)</f>
        <v>#REF!</v>
      </c>
      <c r="AY10" t="e">
        <f>IF(#REF!,"AAAAAHKleDI=",0)</f>
        <v>#REF!</v>
      </c>
      <c r="AZ10" t="e">
        <f>IF(#REF!,"AAAAAHKleDM=",0)</f>
        <v>#REF!</v>
      </c>
      <c r="BA10" t="e">
        <f>IF(#REF!,"AAAAAHKleDQ=",0)</f>
        <v>#REF!</v>
      </c>
      <c r="BB10" t="e">
        <f>IF(#REF!,"AAAAAHKleDU=",0)</f>
        <v>#REF!</v>
      </c>
      <c r="BC10" t="e">
        <f>IF(#REF!,"AAAAAHKleDY=",0)</f>
        <v>#REF!</v>
      </c>
      <c r="BD10" t="e">
        <f>AND(#REF!,"AAAAAHKleDc=")</f>
        <v>#REF!</v>
      </c>
      <c r="BE10" t="e">
        <f>AND(#REF!,"AAAAAHKleDg=")</f>
        <v>#REF!</v>
      </c>
      <c r="BF10" t="e">
        <f>AND(#REF!,"AAAAAHKleDk=")</f>
        <v>#REF!</v>
      </c>
      <c r="BG10" t="e">
        <f>AND(#REF!,"AAAAAHKleDo=")</f>
        <v>#REF!</v>
      </c>
      <c r="BH10" t="e">
        <f>AND(#REF!,"AAAAAHKleDs=")</f>
        <v>#REF!</v>
      </c>
      <c r="BI10" t="e">
        <f>AND(#REF!,"AAAAAHKleDw=")</f>
        <v>#REF!</v>
      </c>
      <c r="BJ10" t="e">
        <f>IF(#REF!,"AAAAAHKleD0=",0)</f>
        <v>#REF!</v>
      </c>
      <c r="BK10" t="e">
        <f>AND(#REF!,"AAAAAHKleD4=")</f>
        <v>#REF!</v>
      </c>
      <c r="BL10" t="e">
        <f>AND(#REF!,"AAAAAHKleD8=")</f>
        <v>#REF!</v>
      </c>
      <c r="BM10" t="e">
        <f>AND(#REF!,"AAAAAHKleEA=")</f>
        <v>#REF!</v>
      </c>
      <c r="BN10" t="e">
        <f>AND(#REF!,"AAAAAHKleEE=")</f>
        <v>#REF!</v>
      </c>
      <c r="BO10" t="e">
        <f>AND(#REF!,"AAAAAHKleEI=")</f>
        <v>#REF!</v>
      </c>
      <c r="BP10" t="e">
        <f>AND(#REF!,"AAAAAHKleEM=")</f>
        <v>#REF!</v>
      </c>
      <c r="BQ10" t="e">
        <f>IF(#REF!,"AAAAAHKleEQ=",0)</f>
        <v>#REF!</v>
      </c>
      <c r="BR10" t="e">
        <f>AND(#REF!,"AAAAAHKleEU=")</f>
        <v>#REF!</v>
      </c>
      <c r="BS10" t="e">
        <f>AND(#REF!,"AAAAAHKleEY=")</f>
        <v>#REF!</v>
      </c>
      <c r="BT10" t="e">
        <f>AND(#REF!,"AAAAAHKleEc=")</f>
        <v>#REF!</v>
      </c>
      <c r="BU10" t="e">
        <f>AND(#REF!,"AAAAAHKleEg=")</f>
        <v>#REF!</v>
      </c>
      <c r="BV10" t="e">
        <f>AND(#REF!,"AAAAAHKleEk=")</f>
        <v>#REF!</v>
      </c>
      <c r="BW10" t="e">
        <f>AND(#REF!,"AAAAAHKleEo=")</f>
        <v>#REF!</v>
      </c>
      <c r="BX10" t="e">
        <f>IF(#REF!,"AAAAAHKleEs=",0)</f>
        <v>#REF!</v>
      </c>
      <c r="BY10" t="e">
        <f>AND(#REF!,"AAAAAHKleEw=")</f>
        <v>#REF!</v>
      </c>
      <c r="BZ10" t="e">
        <f>AND(#REF!,"AAAAAHKleE0=")</f>
        <v>#REF!</v>
      </c>
      <c r="CA10" t="e">
        <f>AND(#REF!,"AAAAAHKleE4=")</f>
        <v>#REF!</v>
      </c>
      <c r="CB10" t="e">
        <f>AND(#REF!,"AAAAAHKleE8=")</f>
        <v>#REF!</v>
      </c>
      <c r="CC10" t="e">
        <f>AND(#REF!,"AAAAAHKleFA=")</f>
        <v>#REF!</v>
      </c>
      <c r="CD10" t="e">
        <f>AND(#REF!,"AAAAAHKleFE=")</f>
        <v>#REF!</v>
      </c>
      <c r="CE10" t="e">
        <f>IF(#REF!,"AAAAAHKleFI=",0)</f>
        <v>#REF!</v>
      </c>
      <c r="CF10" t="e">
        <f>AND(#REF!,"AAAAAHKleFM=")</f>
        <v>#REF!</v>
      </c>
      <c r="CG10" t="e">
        <f>AND(#REF!,"AAAAAHKleFQ=")</f>
        <v>#REF!</v>
      </c>
      <c r="CH10" t="e">
        <f>AND(#REF!,"AAAAAHKleFU=")</f>
        <v>#REF!</v>
      </c>
      <c r="CI10" t="e">
        <f>AND(#REF!,"AAAAAHKleFY=")</f>
        <v>#REF!</v>
      </c>
      <c r="CJ10" t="e">
        <f>AND(#REF!,"AAAAAHKleFc=")</f>
        <v>#REF!</v>
      </c>
      <c r="CK10" t="e">
        <f>AND(#REF!,"AAAAAHKleFg=")</f>
        <v>#REF!</v>
      </c>
      <c r="CL10" t="e">
        <f>IF(#REF!,"AAAAAHKleFk=",0)</f>
        <v>#REF!</v>
      </c>
      <c r="CM10" t="e">
        <f>AND(#REF!,"AAAAAHKleFo=")</f>
        <v>#REF!</v>
      </c>
      <c r="CN10" t="e">
        <f>IF(#REF!,"AAAAAHKleFs=",0)</f>
        <v>#REF!</v>
      </c>
      <c r="CO10" t="e">
        <f>AND(#REF!,"AAAAAHKleFw=")</f>
        <v>#REF!</v>
      </c>
      <c r="CP10" t="e">
        <f>IF(#REF!,"AAAAAHKleF0=",0)</f>
        <v>#REF!</v>
      </c>
      <c r="CQ10" t="e">
        <f>AND(#REF!,"AAAAAHKleF4=")</f>
        <v>#REF!</v>
      </c>
      <c r="CR10" t="e">
        <f>IF(#REF!,"AAAAAHKleF8=",0)</f>
        <v>#REF!</v>
      </c>
      <c r="CS10" t="e">
        <f>AND(#REF!,"AAAAAHKleGA=")</f>
        <v>#REF!</v>
      </c>
      <c r="CT10" t="e">
        <f>IF(#REF!,"AAAAAHKleGE=",0)</f>
        <v>#REF!</v>
      </c>
      <c r="CU10" t="e">
        <f>AND(#REF!,"AAAAAHKleGI=")</f>
        <v>#REF!</v>
      </c>
      <c r="CV10" t="e">
        <f>IF(#REF!,"AAAAAHKleGM=",0)</f>
        <v>#REF!</v>
      </c>
      <c r="CW10" t="e">
        <f>IF(#REF!,"AAAAAHKleGQ=",0)</f>
        <v>#REF!</v>
      </c>
      <c r="CX10" t="e">
        <f>IF(#REF!,"AAAAAHKleGU=",0)</f>
        <v>#REF!</v>
      </c>
      <c r="CY10" t="e">
        <f>IF(#REF!,"AAAAAHKleGY=",0)</f>
        <v>#REF!</v>
      </c>
      <c r="CZ10" t="e">
        <f>IF(#REF!,"AAAAAHKleGc=",0)</f>
        <v>#REF!</v>
      </c>
      <c r="DA10" t="e">
        <f>IF(#REF!,"AAAAAHKleGg=",0)</f>
        <v>#REF!</v>
      </c>
      <c r="DB10" t="e">
        <f>IF(#REF!,"AAAAAHKleGk=",0)</f>
        <v>#REF!</v>
      </c>
      <c r="DC10" t="e">
        <f>AND(#REF!,"AAAAAHKleGo=")</f>
        <v>#REF!</v>
      </c>
      <c r="DD10" t="e">
        <f>AND(#REF!,"AAAAAHKleGs=")</f>
        <v>#REF!</v>
      </c>
      <c r="DE10" t="e">
        <f>AND(#REF!,"AAAAAHKleGw=")</f>
        <v>#REF!</v>
      </c>
      <c r="DF10" t="e">
        <f>AND(#REF!,"AAAAAHKleG0=")</f>
        <v>#REF!</v>
      </c>
      <c r="DG10" t="e">
        <f>AND(#REF!,"AAAAAHKleG4=")</f>
        <v>#REF!</v>
      </c>
      <c r="DH10" t="e">
        <f>AND(#REF!,"AAAAAHKleG8=")</f>
        <v>#REF!</v>
      </c>
      <c r="DI10" t="e">
        <f>AND(#REF!,"AAAAAHKleHA=")</f>
        <v>#REF!</v>
      </c>
      <c r="DJ10" t="e">
        <f>AND(#REF!,"AAAAAHKleHE=")</f>
        <v>#REF!</v>
      </c>
      <c r="DK10" t="e">
        <f>IF(#REF!,"AAAAAHKleHI=",0)</f>
        <v>#REF!</v>
      </c>
      <c r="DL10" t="e">
        <f>AND(#REF!,"AAAAAHKleHM=")</f>
        <v>#REF!</v>
      </c>
      <c r="DM10" t="e">
        <f>AND(#REF!,"AAAAAHKleHQ=")</f>
        <v>#REF!</v>
      </c>
      <c r="DN10" t="e">
        <f>AND(#REF!,"AAAAAHKleHU=")</f>
        <v>#REF!</v>
      </c>
      <c r="DO10" t="e">
        <f>AND(#REF!,"AAAAAHKleHY=")</f>
        <v>#REF!</v>
      </c>
      <c r="DP10" t="e">
        <f>AND(#REF!,"AAAAAHKleHc=")</f>
        <v>#REF!</v>
      </c>
      <c r="DQ10" t="e">
        <f>AND(#REF!,"AAAAAHKleHg=")</f>
        <v>#REF!</v>
      </c>
      <c r="DR10" t="e">
        <f>AND(#REF!,"AAAAAHKleHk=")</f>
        <v>#REF!</v>
      </c>
      <c r="DS10" t="e">
        <f>AND(#REF!,"AAAAAHKleHo=")</f>
        <v>#REF!</v>
      </c>
      <c r="DT10" t="e">
        <f>IF(#REF!,"AAAAAHKleHs=",0)</f>
        <v>#REF!</v>
      </c>
      <c r="DU10" t="e">
        <f>AND(#REF!,"AAAAAHKleHw=")</f>
        <v>#REF!</v>
      </c>
      <c r="DV10" t="e">
        <f>AND(#REF!,"AAAAAHKleH0=")</f>
        <v>#REF!</v>
      </c>
      <c r="DW10" t="e">
        <f>AND(#REF!,"AAAAAHKleH4=")</f>
        <v>#REF!</v>
      </c>
      <c r="DX10" t="e">
        <f>AND(#REF!,"AAAAAHKleH8=")</f>
        <v>#REF!</v>
      </c>
      <c r="DY10" t="e">
        <f>AND(#REF!,"AAAAAHKleIA=")</f>
        <v>#REF!</v>
      </c>
      <c r="DZ10" t="e">
        <f>AND(#REF!,"AAAAAHKleIE=")</f>
        <v>#REF!</v>
      </c>
      <c r="EA10" t="e">
        <f>AND(#REF!,"AAAAAHKleII=")</f>
        <v>#REF!</v>
      </c>
      <c r="EB10" t="e">
        <f>AND(#REF!,"AAAAAHKleIM=")</f>
        <v>#REF!</v>
      </c>
      <c r="EC10" t="e">
        <f>IF(#REF!,"AAAAAHKleIQ=",0)</f>
        <v>#REF!</v>
      </c>
      <c r="ED10" t="e">
        <f>AND(#REF!,"AAAAAHKleIU=")</f>
        <v>#REF!</v>
      </c>
      <c r="EE10" t="e">
        <f>AND(#REF!,"AAAAAHKleIY=")</f>
        <v>#REF!</v>
      </c>
      <c r="EF10" t="e">
        <f>AND(#REF!,"AAAAAHKleIc=")</f>
        <v>#REF!</v>
      </c>
      <c r="EG10" t="e">
        <f>AND(#REF!,"AAAAAHKleIg=")</f>
        <v>#REF!</v>
      </c>
      <c r="EH10" t="e">
        <f>AND(#REF!,"AAAAAHKleIk=")</f>
        <v>#REF!</v>
      </c>
      <c r="EI10" t="e">
        <f>AND(#REF!,"AAAAAHKleIo=")</f>
        <v>#REF!</v>
      </c>
      <c r="EJ10" t="e">
        <f>AND(#REF!,"AAAAAHKleIs=")</f>
        <v>#REF!</v>
      </c>
      <c r="EK10" t="e">
        <f>AND(#REF!,"AAAAAHKleIw=")</f>
        <v>#REF!</v>
      </c>
      <c r="EL10" t="e">
        <f>IF(#REF!,"AAAAAHKleI0=",0)</f>
        <v>#REF!</v>
      </c>
      <c r="EM10" t="e">
        <f>AND(#REF!,"AAAAAHKleI4=")</f>
        <v>#REF!</v>
      </c>
      <c r="EN10" t="e">
        <f>IF(#REF!,"AAAAAHKleI8=",0)</f>
        <v>#REF!</v>
      </c>
      <c r="EO10" t="e">
        <f>AND(#REF!,"AAAAAHKleJA=")</f>
        <v>#REF!</v>
      </c>
      <c r="EP10" t="e">
        <f>IF(#REF!,"AAAAAHKleJE=",0)</f>
        <v>#REF!</v>
      </c>
      <c r="EQ10" t="e">
        <f>AND(#REF!,"AAAAAHKleJI=")</f>
        <v>#REF!</v>
      </c>
      <c r="ER10" t="e">
        <f>IF(#REF!,"AAAAAHKleJM=",0)</f>
        <v>#REF!</v>
      </c>
      <c r="ES10" t="e">
        <f>AND(#REF!,"AAAAAHKleJQ=")</f>
        <v>#REF!</v>
      </c>
      <c r="ET10" t="e">
        <f>IF(#REF!,"AAAAAHKleJU=",0)</f>
        <v>#REF!</v>
      </c>
      <c r="EU10" t="e">
        <f>AND(#REF!,"AAAAAHKleJY=")</f>
        <v>#REF!</v>
      </c>
      <c r="EV10" t="e">
        <f>IF(#REF!,"AAAAAHKleJc=",0)</f>
        <v>#REF!</v>
      </c>
      <c r="EW10" t="e">
        <f>IF(#REF!,"AAAAAHKleJg=",0)</f>
        <v>#REF!</v>
      </c>
      <c r="EX10" t="e">
        <f>IF(#REF!,"AAAAAHKleJk=",0)</f>
        <v>#REF!</v>
      </c>
      <c r="EY10" t="e">
        <f>IF(#REF!,"AAAAAHKleJo=",0)</f>
        <v>#REF!</v>
      </c>
      <c r="EZ10" t="e">
        <f>IF(#REF!,"AAAAAHKleJs=",0)</f>
        <v>#REF!</v>
      </c>
      <c r="FA10" t="e">
        <f>IF(#REF!,"AAAAAHKleJw=",0)</f>
        <v>#REF!</v>
      </c>
      <c r="FB10" t="e">
        <f>IF(#REF!,"AAAAAHKleJ0=",0)</f>
        <v>#REF!</v>
      </c>
      <c r="FC10" t="e">
        <f>IF(#REF!,"AAAAAHKleJ4=",0)</f>
        <v>#REF!</v>
      </c>
      <c r="FD10" t="e">
        <f>IF(#REF!,"AAAAAHKleJ8=",0)</f>
        <v>#REF!</v>
      </c>
      <c r="FE10" t="e">
        <f>AND(#REF!,"AAAAAHKleKA=")</f>
        <v>#REF!</v>
      </c>
      <c r="FF10" t="e">
        <f>AND(#REF!,"AAAAAHKleKE=")</f>
        <v>#REF!</v>
      </c>
      <c r="FG10" t="e">
        <f>AND(#REF!,"AAAAAHKleKI=")</f>
        <v>#REF!</v>
      </c>
      <c r="FH10" t="e">
        <f>AND(#REF!,"AAAAAHKleKM=")</f>
        <v>#REF!</v>
      </c>
      <c r="FI10" t="e">
        <f>AND(#REF!,"AAAAAHKleKQ=")</f>
        <v>#REF!</v>
      </c>
      <c r="FJ10" t="e">
        <f>IF(#REF!,"AAAAAHKleKU=",0)</f>
        <v>#REF!</v>
      </c>
      <c r="FK10" t="e">
        <f>AND(#REF!,"AAAAAHKleKY=")</f>
        <v>#REF!</v>
      </c>
      <c r="FL10" t="e">
        <f>AND(#REF!,"AAAAAHKleKc=")</f>
        <v>#REF!</v>
      </c>
      <c r="FM10" t="e">
        <f>AND(#REF!,"AAAAAHKleKg=")</f>
        <v>#REF!</v>
      </c>
      <c r="FN10" t="e">
        <f>AND(#REF!,"AAAAAHKleKk=")</f>
        <v>#REF!</v>
      </c>
      <c r="FO10" t="e">
        <f>AND(#REF!,"AAAAAHKleKo=")</f>
        <v>#REF!</v>
      </c>
      <c r="FP10" t="e">
        <f>IF(#REF!,"AAAAAHKleKs=",0)</f>
        <v>#REF!</v>
      </c>
      <c r="FQ10" t="e">
        <f>AND(#REF!,"AAAAAHKleKw=")</f>
        <v>#REF!</v>
      </c>
      <c r="FR10" t="e">
        <f>AND(#REF!,"AAAAAHKleK0=")</f>
        <v>#REF!</v>
      </c>
      <c r="FS10" t="e">
        <f>AND(#REF!,"AAAAAHKleK4=")</f>
        <v>#REF!</v>
      </c>
      <c r="FT10" t="e">
        <f>AND(#REF!,"AAAAAHKleK8=")</f>
        <v>#REF!</v>
      </c>
      <c r="FU10" t="e">
        <f>AND(#REF!,"AAAAAHKleLA=")</f>
        <v>#REF!</v>
      </c>
      <c r="FV10" t="e">
        <f>IF(#REF!,"AAAAAHKleLE=",0)</f>
        <v>#REF!</v>
      </c>
      <c r="FW10" t="e">
        <f>AND(#REF!,"AAAAAHKleLI=")</f>
        <v>#REF!</v>
      </c>
      <c r="FX10" t="e">
        <f>AND(#REF!,"AAAAAHKleLM=")</f>
        <v>#REF!</v>
      </c>
      <c r="FY10" t="e">
        <f>AND(#REF!,"AAAAAHKleLQ=")</f>
        <v>#REF!</v>
      </c>
      <c r="FZ10" t="e">
        <f>AND(#REF!,"AAAAAHKleLU=")</f>
        <v>#REF!</v>
      </c>
      <c r="GA10" t="e">
        <f>AND(#REF!,"AAAAAHKleLY=")</f>
        <v>#REF!</v>
      </c>
      <c r="GB10" t="e">
        <f>IF(#REF!,"AAAAAHKleLc=",0)</f>
        <v>#REF!</v>
      </c>
      <c r="GC10" t="e">
        <f>AND(#REF!,"AAAAAHKleLg=")</f>
        <v>#REF!</v>
      </c>
      <c r="GD10" t="e">
        <f>AND(#REF!,"AAAAAHKleLk=")</f>
        <v>#REF!</v>
      </c>
      <c r="GE10" t="e">
        <f>AND(#REF!,"AAAAAHKleLo=")</f>
        <v>#REF!</v>
      </c>
      <c r="GF10" t="e">
        <f>AND(#REF!,"AAAAAHKleLs=")</f>
        <v>#REF!</v>
      </c>
      <c r="GG10" t="e">
        <f>AND(#REF!,"AAAAAHKleLw=")</f>
        <v>#REF!</v>
      </c>
      <c r="GH10" t="e">
        <f>IF(#REF!,"AAAAAHKleL0=",0)</f>
        <v>#REF!</v>
      </c>
      <c r="GI10" t="e">
        <f>AND(#REF!,"AAAAAHKleL4=")</f>
        <v>#REF!</v>
      </c>
      <c r="GJ10" t="e">
        <f>AND(#REF!,"AAAAAHKleL8=")</f>
        <v>#REF!</v>
      </c>
      <c r="GK10" t="e">
        <f>AND(#REF!,"AAAAAHKleMA=")</f>
        <v>#REF!</v>
      </c>
      <c r="GL10" t="e">
        <f>AND(#REF!,"AAAAAHKleME=")</f>
        <v>#REF!</v>
      </c>
      <c r="GM10" t="e">
        <f>AND(#REF!,"AAAAAHKleMI=")</f>
        <v>#REF!</v>
      </c>
      <c r="GN10" t="e">
        <f>IF(#REF!,"AAAAAHKleMM=",0)</f>
        <v>#REF!</v>
      </c>
      <c r="GO10" t="e">
        <f>AND(#REF!,"AAAAAHKleMQ=")</f>
        <v>#REF!</v>
      </c>
      <c r="GP10" t="e">
        <f>AND(#REF!,"AAAAAHKleMU=")</f>
        <v>#REF!</v>
      </c>
      <c r="GQ10" t="e">
        <f>AND(#REF!,"AAAAAHKleMY=")</f>
        <v>#REF!</v>
      </c>
      <c r="GR10" t="e">
        <f>AND(#REF!,"AAAAAHKleMc=")</f>
        <v>#REF!</v>
      </c>
      <c r="GS10" t="e">
        <f>AND(#REF!,"AAAAAHKleMg=")</f>
        <v>#REF!</v>
      </c>
      <c r="GT10" t="e">
        <f>IF(#REF!,"AAAAAHKleMk=",0)</f>
        <v>#REF!</v>
      </c>
      <c r="GU10" t="e">
        <f>AND(#REF!,"AAAAAHKleMo=")</f>
        <v>#REF!</v>
      </c>
      <c r="GV10" t="e">
        <f>AND(#REF!,"AAAAAHKleMs=")</f>
        <v>#REF!</v>
      </c>
      <c r="GW10" t="e">
        <f>AND(#REF!,"AAAAAHKleMw=")</f>
        <v>#REF!</v>
      </c>
      <c r="GX10" t="e">
        <f>AND(#REF!,"AAAAAHKleM0=")</f>
        <v>#REF!</v>
      </c>
      <c r="GY10" t="e">
        <f>AND(#REF!,"AAAAAHKleM4=")</f>
        <v>#REF!</v>
      </c>
      <c r="GZ10" t="e">
        <f>IF(#REF!,"AAAAAHKleM8=",0)</f>
        <v>#REF!</v>
      </c>
      <c r="HA10" t="e">
        <f>AND(#REF!,"AAAAAHKleNA=")</f>
        <v>#REF!</v>
      </c>
      <c r="HB10" t="e">
        <f>IF(#REF!,"AAAAAHKleNE=",0)</f>
        <v>#REF!</v>
      </c>
      <c r="HC10" t="e">
        <f>AND(#REF!,"AAAAAHKleNI=")</f>
        <v>#REF!</v>
      </c>
      <c r="HD10" t="e">
        <f>IF(#REF!,"AAAAAHKleNM=",0)</f>
        <v>#REF!</v>
      </c>
      <c r="HE10" t="e">
        <f>AND(#REF!,"AAAAAHKleNQ=")</f>
        <v>#REF!</v>
      </c>
      <c r="HF10" t="e">
        <f>IF(#REF!,"AAAAAHKleNU=",0)</f>
        <v>#REF!</v>
      </c>
      <c r="HG10" t="e">
        <f>AND(#REF!,"AAAAAHKleNY=")</f>
        <v>#REF!</v>
      </c>
      <c r="HH10" t="e">
        <f>IF(#REF!,"AAAAAHKleNc=",0)</f>
        <v>#REF!</v>
      </c>
      <c r="HI10" t="e">
        <f>AND(#REF!,"AAAAAHKleNg=")</f>
        <v>#REF!</v>
      </c>
      <c r="HJ10" t="e">
        <f>IF(#REF!,"AAAAAHKleNk=",0)</f>
        <v>#REF!</v>
      </c>
      <c r="HK10" t="e">
        <f>AND(#REF!,"AAAAAHKleNo=")</f>
        <v>#REF!</v>
      </c>
      <c r="HL10" t="e">
        <f>IF(#REF!,"AAAAAHKleNs=",0)</f>
        <v>#REF!</v>
      </c>
      <c r="HM10" t="e">
        <f>AND(#REF!,"AAAAAHKleNw=")</f>
        <v>#REF!</v>
      </c>
      <c r="HN10" t="e">
        <f>IF(#REF!,"AAAAAHKleN0=",0)</f>
        <v>#REF!</v>
      </c>
      <c r="HO10" t="e">
        <f>IF(#REF!,"AAAAAHKleN4=",0)</f>
        <v>#REF!</v>
      </c>
      <c r="HP10" t="e">
        <f>IF(#REF!,"AAAAAHKleN8=",0)</f>
        <v>#REF!</v>
      </c>
      <c r="HQ10" t="e">
        <f>IF(#REF!,"AAAAAHKleOA=",0)</f>
        <v>#REF!</v>
      </c>
      <c r="HR10" t="e">
        <f>IF(#REF!,"AAAAAHKleOE=",0)</f>
        <v>#REF!</v>
      </c>
      <c r="HS10" t="e">
        <f>IF(#REF!,"AAAAAHKleOI=",0)</f>
        <v>#REF!</v>
      </c>
      <c r="HT10" t="e">
        <f>AND(#REF!,"AAAAAHKleOM=")</f>
        <v>#REF!</v>
      </c>
      <c r="HU10" t="e">
        <f>AND(#REF!,"AAAAAHKleOQ=")</f>
        <v>#REF!</v>
      </c>
      <c r="HV10" t="e">
        <f>AND(#REF!,"AAAAAHKleOU=")</f>
        <v>#REF!</v>
      </c>
      <c r="HW10" t="e">
        <f>IF(#REF!,"AAAAAHKleOY=",0)</f>
        <v>#REF!</v>
      </c>
      <c r="HX10" t="e">
        <f>AND(#REF!,"AAAAAHKleOc=")</f>
        <v>#REF!</v>
      </c>
      <c r="HY10" t="e">
        <f>AND(#REF!,"AAAAAHKleOg=")</f>
        <v>#REF!</v>
      </c>
      <c r="HZ10" t="e">
        <f>AND(#REF!,"AAAAAHKleOk=")</f>
        <v>#REF!</v>
      </c>
      <c r="IA10" t="e">
        <f>IF(#REF!,"AAAAAHKleOo=",0)</f>
        <v>#REF!</v>
      </c>
      <c r="IB10" t="e">
        <f>AND(#REF!,"AAAAAHKleOs=")</f>
        <v>#REF!</v>
      </c>
      <c r="IC10" t="e">
        <f>AND(#REF!,"AAAAAHKleOw=")</f>
        <v>#REF!</v>
      </c>
      <c r="ID10" t="e">
        <f>AND(#REF!,"AAAAAHKleO0=")</f>
        <v>#REF!</v>
      </c>
      <c r="IE10" t="e">
        <f>IF(#REF!,"AAAAAHKleO4=",0)</f>
        <v>#REF!</v>
      </c>
      <c r="IF10" t="e">
        <f>AND(#REF!,"AAAAAHKleO8=")</f>
        <v>#REF!</v>
      </c>
      <c r="IG10" t="e">
        <f>AND(#REF!,"AAAAAHKlePA=")</f>
        <v>#REF!</v>
      </c>
      <c r="IH10" t="e">
        <f>AND(#REF!,"AAAAAHKlePE=")</f>
        <v>#REF!</v>
      </c>
      <c r="II10" t="e">
        <f>IF(#REF!,"AAAAAHKlePI=",0)</f>
        <v>#REF!</v>
      </c>
      <c r="IJ10" t="e">
        <f>AND(#REF!,"AAAAAHKlePM=")</f>
        <v>#REF!</v>
      </c>
      <c r="IK10" t="e">
        <f>AND(#REF!,"AAAAAHKlePQ=")</f>
        <v>#REF!</v>
      </c>
      <c r="IL10" t="e">
        <f>AND(#REF!,"AAAAAHKlePU=")</f>
        <v>#REF!</v>
      </c>
      <c r="IM10" t="e">
        <f>IF(#REF!,"AAAAAHKlePY=",0)</f>
        <v>#REF!</v>
      </c>
      <c r="IN10" t="e">
        <f>AND(#REF!,"AAAAAHKlePc=")</f>
        <v>#REF!</v>
      </c>
      <c r="IO10" t="e">
        <f>AND(#REF!,"AAAAAHKlePg=")</f>
        <v>#REF!</v>
      </c>
      <c r="IP10" t="e">
        <f>AND(#REF!,"AAAAAHKlePk=")</f>
        <v>#REF!</v>
      </c>
      <c r="IQ10" t="e">
        <f>IF(#REF!,"AAAAAHKlePo=",0)</f>
        <v>#REF!</v>
      </c>
      <c r="IR10" t="e">
        <f>AND(#REF!,"AAAAAHKlePs=")</f>
        <v>#REF!</v>
      </c>
      <c r="IS10" t="e">
        <f>AND(#REF!,"AAAAAHKlePw=")</f>
        <v>#REF!</v>
      </c>
      <c r="IT10" t="e">
        <f>AND(#REF!,"AAAAAHKleP0=")</f>
        <v>#REF!</v>
      </c>
      <c r="IU10" t="e">
        <f>IF(#REF!,"AAAAAHKleP4=",0)</f>
        <v>#REF!</v>
      </c>
      <c r="IV10" t="e">
        <f>AND(#REF!,"AAAAAHKleP8=")</f>
        <v>#REF!</v>
      </c>
    </row>
    <row r="11" spans="1:256">
      <c r="A11" t="e">
        <f>AND(#REF!,"AAAAAFeP+gA=")</f>
        <v>#REF!</v>
      </c>
      <c r="B11" t="e">
        <f>AND(#REF!,"AAAAAFeP+gE=")</f>
        <v>#REF!</v>
      </c>
      <c r="C11" t="e">
        <f>IF(#REF!,"AAAAAFeP+gI=",0)</f>
        <v>#REF!</v>
      </c>
      <c r="D11" t="e">
        <f>AND(#REF!,"AAAAAFeP+gM=")</f>
        <v>#REF!</v>
      </c>
      <c r="E11" t="e">
        <f>AND(#REF!,"AAAAAFeP+gQ=")</f>
        <v>#REF!</v>
      </c>
      <c r="F11" t="e">
        <f>AND(#REF!,"AAAAAFeP+gU=")</f>
        <v>#REF!</v>
      </c>
      <c r="G11" t="e">
        <f>IF(#REF!,"AAAAAFeP+gY=",0)</f>
        <v>#REF!</v>
      </c>
      <c r="H11" t="e">
        <f>AND(#REF!,"AAAAAFeP+gc=")</f>
        <v>#REF!</v>
      </c>
      <c r="I11" t="e">
        <f>AND(#REF!,"AAAAAFeP+gg=")</f>
        <v>#REF!</v>
      </c>
      <c r="J11" t="e">
        <f>AND(#REF!,"AAAAAFeP+gk=")</f>
        <v>#REF!</v>
      </c>
      <c r="K11" t="e">
        <f>IF(#REF!,"AAAAAFeP+go=",0)</f>
        <v>#REF!</v>
      </c>
      <c r="L11" t="e">
        <f>AND(#REF!,"AAAAAFeP+gs=")</f>
        <v>#REF!</v>
      </c>
      <c r="M11" t="e">
        <f>AND(#REF!,"AAAAAFeP+gw=")</f>
        <v>#REF!</v>
      </c>
      <c r="N11" t="e">
        <f>AND(#REF!,"AAAAAFeP+g0=")</f>
        <v>#REF!</v>
      </c>
      <c r="O11" t="e">
        <f>IF(#REF!,"AAAAAFeP+g4=",0)</f>
        <v>#REF!</v>
      </c>
      <c r="P11" t="e">
        <f>AND(#REF!,"AAAAAFeP+g8=")</f>
        <v>#REF!</v>
      </c>
      <c r="Q11" t="e">
        <f>AND(#REF!,"AAAAAFeP+hA=")</f>
        <v>#REF!</v>
      </c>
      <c r="R11" t="e">
        <f>AND(#REF!,"AAAAAFeP+hE=")</f>
        <v>#REF!</v>
      </c>
      <c r="S11" t="e">
        <f>IF(#REF!,"AAAAAFeP+hI=",0)</f>
        <v>#REF!</v>
      </c>
      <c r="T11" t="e">
        <f>AND(#REF!,"AAAAAFeP+hM=")</f>
        <v>#REF!</v>
      </c>
      <c r="U11" t="e">
        <f>AND(#REF!,"AAAAAFeP+hQ=")</f>
        <v>#REF!</v>
      </c>
      <c r="V11" t="e">
        <f>AND(#REF!,"AAAAAFeP+hU=")</f>
        <v>#REF!</v>
      </c>
      <c r="W11" t="e">
        <f>IF(#REF!,"AAAAAFeP+hY=",0)</f>
        <v>#REF!</v>
      </c>
      <c r="X11" t="e">
        <f>AND(#REF!,"AAAAAFeP+hc=")</f>
        <v>#REF!</v>
      </c>
      <c r="Y11" t="e">
        <f>AND(#REF!,"AAAAAFeP+hg=")</f>
        <v>#REF!</v>
      </c>
      <c r="Z11" t="e">
        <f>AND(#REF!,"AAAAAFeP+hk=")</f>
        <v>#REF!</v>
      </c>
      <c r="AA11" t="e">
        <f>IF(#REF!,"AAAAAFeP+ho=",0)</f>
        <v>#REF!</v>
      </c>
      <c r="AB11" t="e">
        <f>AND(#REF!,"AAAAAFeP+hs=")</f>
        <v>#REF!</v>
      </c>
      <c r="AC11" t="e">
        <f>AND(#REF!,"AAAAAFeP+hw=")</f>
        <v>#REF!</v>
      </c>
      <c r="AD11" t="e">
        <f>AND(#REF!,"AAAAAFeP+h0=")</f>
        <v>#REF!</v>
      </c>
      <c r="AE11" t="e">
        <f>IF(#REF!,"AAAAAFeP+h4=",0)</f>
        <v>#REF!</v>
      </c>
      <c r="AF11" t="e">
        <f>AND(#REF!,"AAAAAFeP+h8=")</f>
        <v>#REF!</v>
      </c>
      <c r="AG11" t="e">
        <f>AND(#REF!,"AAAAAFeP+iA=")</f>
        <v>#REF!</v>
      </c>
      <c r="AH11" t="e">
        <f>AND(#REF!,"AAAAAFeP+iE=")</f>
        <v>#REF!</v>
      </c>
      <c r="AI11" t="e">
        <f>IF(#REF!,"AAAAAFeP+iI=",0)</f>
        <v>#REF!</v>
      </c>
      <c r="AJ11" t="e">
        <f>AND(#REF!,"AAAAAFeP+iM=")</f>
        <v>#REF!</v>
      </c>
      <c r="AK11" t="e">
        <f>AND(#REF!,"AAAAAFeP+iQ=")</f>
        <v>#REF!</v>
      </c>
      <c r="AL11" t="e">
        <f>AND(#REF!,"AAAAAFeP+iU=")</f>
        <v>#REF!</v>
      </c>
      <c r="AM11" t="e">
        <f>IF(#REF!,"AAAAAFeP+iY=",0)</f>
        <v>#REF!</v>
      </c>
      <c r="AN11" t="e">
        <f>AND(#REF!,"AAAAAFeP+ic=")</f>
        <v>#REF!</v>
      </c>
      <c r="AO11" t="e">
        <f>AND(#REF!,"AAAAAFeP+ig=")</f>
        <v>#REF!</v>
      </c>
      <c r="AP11" t="e">
        <f>AND(#REF!,"AAAAAFeP+ik=")</f>
        <v>#REF!</v>
      </c>
      <c r="AQ11" t="e">
        <f>IF(#REF!,"AAAAAFeP+io=",0)</f>
        <v>#REF!</v>
      </c>
      <c r="AR11" t="e">
        <f>AND(#REF!,"AAAAAFeP+is=")</f>
        <v>#REF!</v>
      </c>
      <c r="AS11" t="e">
        <f>AND(#REF!,"AAAAAFeP+iw=")</f>
        <v>#REF!</v>
      </c>
      <c r="AT11" t="e">
        <f>AND(#REF!,"AAAAAFeP+i0=")</f>
        <v>#REF!</v>
      </c>
      <c r="AU11" t="e">
        <f>IF(#REF!,"AAAAAFeP+i4=",0)</f>
        <v>#REF!</v>
      </c>
      <c r="AV11" t="e">
        <f>AND(#REF!,"AAAAAFeP+i8=")</f>
        <v>#REF!</v>
      </c>
      <c r="AW11" t="e">
        <f>AND(#REF!,"AAAAAFeP+jA=")</f>
        <v>#REF!</v>
      </c>
      <c r="AX11" t="e">
        <f>AND(#REF!,"AAAAAFeP+jE=")</f>
        <v>#REF!</v>
      </c>
      <c r="AY11" t="e">
        <f>IF(#REF!,"AAAAAFeP+jI=",0)</f>
        <v>#REF!</v>
      </c>
      <c r="AZ11" t="e">
        <f>AND(#REF!,"AAAAAFeP+jM=")</f>
        <v>#REF!</v>
      </c>
      <c r="BA11" t="e">
        <f>AND(#REF!,"AAAAAFeP+jQ=")</f>
        <v>#REF!</v>
      </c>
      <c r="BB11" t="e">
        <f>AND(#REF!,"AAAAAFeP+jU=")</f>
        <v>#REF!</v>
      </c>
      <c r="BC11" t="e">
        <f>IF(#REF!,"AAAAAFeP+jY=",0)</f>
        <v>#REF!</v>
      </c>
      <c r="BD11" t="e">
        <f>AND(#REF!,"AAAAAFeP+jc=")</f>
        <v>#REF!</v>
      </c>
      <c r="BE11" t="e">
        <f>AND(#REF!,"AAAAAFeP+jg=")</f>
        <v>#REF!</v>
      </c>
      <c r="BF11" t="e">
        <f>AND(#REF!,"AAAAAFeP+jk=")</f>
        <v>#REF!</v>
      </c>
      <c r="BG11" t="e">
        <f>IF(#REF!,"AAAAAFeP+jo=",0)</f>
        <v>#REF!</v>
      </c>
      <c r="BH11" t="e">
        <f>AND(#REF!,"AAAAAFeP+js=")</f>
        <v>#REF!</v>
      </c>
      <c r="BI11" t="e">
        <f>AND(#REF!,"AAAAAFeP+jw=")</f>
        <v>#REF!</v>
      </c>
      <c r="BJ11" t="e">
        <f>AND(#REF!,"AAAAAFeP+j0=")</f>
        <v>#REF!</v>
      </c>
      <c r="BK11" t="e">
        <f>IF(#REF!,"AAAAAFeP+j4=",0)</f>
        <v>#REF!</v>
      </c>
      <c r="BL11" t="e">
        <f>AND(#REF!,"AAAAAFeP+j8=")</f>
        <v>#REF!</v>
      </c>
      <c r="BM11" t="e">
        <f>AND(#REF!,"AAAAAFeP+kA=")</f>
        <v>#REF!</v>
      </c>
      <c r="BN11" t="e">
        <f>AND(#REF!,"AAAAAFeP+kE=")</f>
        <v>#REF!</v>
      </c>
      <c r="BO11" t="e">
        <f>IF(#REF!,"AAAAAFeP+kI=",0)</f>
        <v>#REF!</v>
      </c>
      <c r="BP11" t="e">
        <f>AND(#REF!,"AAAAAFeP+kM=")</f>
        <v>#REF!</v>
      </c>
      <c r="BQ11" t="e">
        <f>AND(#REF!,"AAAAAFeP+kQ=")</f>
        <v>#REF!</v>
      </c>
      <c r="BR11" t="e">
        <f>AND(#REF!,"AAAAAFeP+kU=")</f>
        <v>#REF!</v>
      </c>
      <c r="BS11" t="e">
        <f>IF(#REF!,"AAAAAFeP+kY=",0)</f>
        <v>#REF!</v>
      </c>
      <c r="BT11" t="e">
        <f>AND(#REF!,"AAAAAFeP+kc=")</f>
        <v>#REF!</v>
      </c>
      <c r="BU11" t="e">
        <f>AND(#REF!,"AAAAAFeP+kg=")</f>
        <v>#REF!</v>
      </c>
      <c r="BV11" t="e">
        <f>AND(#REF!,"AAAAAFeP+kk=")</f>
        <v>#REF!</v>
      </c>
      <c r="BW11" t="e">
        <f>IF(#REF!,"AAAAAFeP+ko=",0)</f>
        <v>#REF!</v>
      </c>
      <c r="BX11" t="e">
        <f>AND(#REF!,"AAAAAFeP+ks=")</f>
        <v>#REF!</v>
      </c>
      <c r="BY11" t="e">
        <f>AND(#REF!,"AAAAAFeP+kw=")</f>
        <v>#REF!</v>
      </c>
      <c r="BZ11" t="e">
        <f>AND(#REF!,"AAAAAFeP+k0=")</f>
        <v>#REF!</v>
      </c>
      <c r="CA11" t="e">
        <f>IF(#REF!,"AAAAAFeP+k4=",0)</f>
        <v>#REF!</v>
      </c>
      <c r="CB11" t="e">
        <f>AND(#REF!,"AAAAAFeP+k8=")</f>
        <v>#REF!</v>
      </c>
      <c r="CC11" t="e">
        <f>AND(#REF!,"AAAAAFeP+lA=")</f>
        <v>#REF!</v>
      </c>
      <c r="CD11" t="e">
        <f>AND(#REF!,"AAAAAFeP+lE=")</f>
        <v>#REF!</v>
      </c>
      <c r="CE11" t="e">
        <f>IF(#REF!,"AAAAAFeP+lI=",0)</f>
        <v>#REF!</v>
      </c>
      <c r="CF11" t="e">
        <f>AND(#REF!,"AAAAAFeP+lM=")</f>
        <v>#REF!</v>
      </c>
      <c r="CG11" t="e">
        <f>AND(#REF!,"AAAAAFeP+lQ=")</f>
        <v>#REF!</v>
      </c>
      <c r="CH11" t="e">
        <f>AND(#REF!,"AAAAAFeP+lU=")</f>
        <v>#REF!</v>
      </c>
      <c r="CI11" t="e">
        <f>IF(#REF!,"AAAAAFeP+lY=",0)</f>
        <v>#REF!</v>
      </c>
      <c r="CJ11" t="e">
        <f>AND(#REF!,"AAAAAFeP+lc=")</f>
        <v>#REF!</v>
      </c>
      <c r="CK11" t="e">
        <f>AND(#REF!,"AAAAAFeP+lg=")</f>
        <v>#REF!</v>
      </c>
      <c r="CL11" t="e">
        <f>AND(#REF!,"AAAAAFeP+lk=")</f>
        <v>#REF!</v>
      </c>
      <c r="CM11" t="e">
        <f>IF(#REF!,"AAAAAFeP+lo=",0)</f>
        <v>#REF!</v>
      </c>
      <c r="CN11" t="e">
        <f>AND(#REF!,"AAAAAFeP+ls=")</f>
        <v>#REF!</v>
      </c>
      <c r="CO11" t="e">
        <f>AND(#REF!,"AAAAAFeP+lw=")</f>
        <v>#REF!</v>
      </c>
      <c r="CP11" t="e">
        <f>AND(#REF!,"AAAAAFeP+l0=")</f>
        <v>#REF!</v>
      </c>
      <c r="CQ11" t="e">
        <f>IF(#REF!,"AAAAAFeP+l4=",0)</f>
        <v>#REF!</v>
      </c>
      <c r="CR11" t="e">
        <f>AND(#REF!,"AAAAAFeP+l8=")</f>
        <v>#REF!</v>
      </c>
      <c r="CS11" t="e">
        <f>AND(#REF!,"AAAAAFeP+mA=")</f>
        <v>#REF!</v>
      </c>
      <c r="CT11" t="e">
        <f>AND(#REF!,"AAAAAFeP+mE=")</f>
        <v>#REF!</v>
      </c>
      <c r="CU11" t="e">
        <f>IF(#REF!,"AAAAAFeP+mI=",0)</f>
        <v>#REF!</v>
      </c>
      <c r="CV11" t="e">
        <f>AND(#REF!,"AAAAAFeP+mM=")</f>
        <v>#REF!</v>
      </c>
      <c r="CW11" t="e">
        <f>AND(#REF!,"AAAAAFeP+mQ=")</f>
        <v>#REF!</v>
      </c>
      <c r="CX11" t="e">
        <f>AND(#REF!,"AAAAAFeP+mU=")</f>
        <v>#REF!</v>
      </c>
      <c r="CY11" t="e">
        <f>IF(#REF!,"AAAAAFeP+mY=",0)</f>
        <v>#REF!</v>
      </c>
      <c r="CZ11" t="e">
        <f>AND(#REF!,"AAAAAFeP+mc=")</f>
        <v>#REF!</v>
      </c>
      <c r="DA11" t="e">
        <f>AND(#REF!,"AAAAAFeP+mg=")</f>
        <v>#REF!</v>
      </c>
      <c r="DB11" t="e">
        <f>AND(#REF!,"AAAAAFeP+mk=")</f>
        <v>#REF!</v>
      </c>
      <c r="DC11" t="e">
        <f>IF(#REF!,"AAAAAFeP+mo=",0)</f>
        <v>#REF!</v>
      </c>
      <c r="DD11" t="e">
        <f>AND(#REF!,"AAAAAFeP+ms=")</f>
        <v>#REF!</v>
      </c>
      <c r="DE11" t="e">
        <f>AND(#REF!,"AAAAAFeP+mw=")</f>
        <v>#REF!</v>
      </c>
      <c r="DF11" t="e">
        <f>AND(#REF!,"AAAAAFeP+m0=")</f>
        <v>#REF!</v>
      </c>
      <c r="DG11" t="e">
        <f>IF(#REF!,"AAAAAFeP+m4=",0)</f>
        <v>#REF!</v>
      </c>
      <c r="DH11" t="e">
        <f>AND(#REF!,"AAAAAFeP+m8=")</f>
        <v>#REF!</v>
      </c>
      <c r="DI11" t="e">
        <f>AND(#REF!,"AAAAAFeP+nA=")</f>
        <v>#REF!</v>
      </c>
      <c r="DJ11" t="e">
        <f>AND(#REF!,"AAAAAFeP+nE=")</f>
        <v>#REF!</v>
      </c>
      <c r="DK11" t="e">
        <f>IF(#REF!,"AAAAAFeP+nI=",0)</f>
        <v>#REF!</v>
      </c>
      <c r="DL11" t="e">
        <f>AND(#REF!,"AAAAAFeP+nM=")</f>
        <v>#REF!</v>
      </c>
      <c r="DM11" t="e">
        <f>AND(#REF!,"AAAAAFeP+nQ=")</f>
        <v>#REF!</v>
      </c>
      <c r="DN11" t="e">
        <f>AND(#REF!,"AAAAAFeP+nU=")</f>
        <v>#REF!</v>
      </c>
      <c r="DO11" t="e">
        <f>IF(#REF!,"AAAAAFeP+nY=",0)</f>
        <v>#REF!</v>
      </c>
      <c r="DP11" t="e">
        <f>AND(#REF!,"AAAAAFeP+nc=")</f>
        <v>#REF!</v>
      </c>
      <c r="DQ11" t="e">
        <f>AND(#REF!,"AAAAAFeP+ng=")</f>
        <v>#REF!</v>
      </c>
      <c r="DR11" t="e">
        <f>AND(#REF!,"AAAAAFeP+nk=")</f>
        <v>#REF!</v>
      </c>
      <c r="DS11" t="e">
        <f>IF(#REF!,"AAAAAFeP+no=",0)</f>
        <v>#REF!</v>
      </c>
      <c r="DT11" t="e">
        <f>AND(#REF!,"AAAAAFeP+ns=")</f>
        <v>#REF!</v>
      </c>
      <c r="DU11" t="e">
        <f>AND(#REF!,"AAAAAFeP+nw=")</f>
        <v>#REF!</v>
      </c>
      <c r="DV11" t="e">
        <f>AND(#REF!,"AAAAAFeP+n0=")</f>
        <v>#REF!</v>
      </c>
      <c r="DW11" t="e">
        <f>IF(#REF!,"AAAAAFeP+n4=",0)</f>
        <v>#REF!</v>
      </c>
      <c r="DX11" t="e">
        <f>AND(#REF!,"AAAAAFeP+n8=")</f>
        <v>#REF!</v>
      </c>
      <c r="DY11" t="e">
        <f>AND(#REF!,"AAAAAFeP+oA=")</f>
        <v>#REF!</v>
      </c>
      <c r="DZ11" t="e">
        <f>AND(#REF!,"AAAAAFeP+oE=")</f>
        <v>#REF!</v>
      </c>
      <c r="EA11" t="e">
        <f>IF(#REF!,"AAAAAFeP+oI=",0)</f>
        <v>#REF!</v>
      </c>
      <c r="EB11" t="e">
        <f>AND(#REF!,"AAAAAFeP+oM=")</f>
        <v>#REF!</v>
      </c>
      <c r="EC11" t="e">
        <f>AND(#REF!,"AAAAAFeP+oQ=")</f>
        <v>#REF!</v>
      </c>
      <c r="ED11" t="e">
        <f>AND(#REF!,"AAAAAFeP+oU=")</f>
        <v>#REF!</v>
      </c>
      <c r="EE11" t="e">
        <f>IF(#REF!,"AAAAAFeP+oY=",0)</f>
        <v>#REF!</v>
      </c>
      <c r="EF11" t="e">
        <f>AND(#REF!,"AAAAAFeP+oc=")</f>
        <v>#REF!</v>
      </c>
      <c r="EG11" t="e">
        <f>AND(#REF!,"AAAAAFeP+og=")</f>
        <v>#REF!</v>
      </c>
      <c r="EH11" t="e">
        <f>AND(#REF!,"AAAAAFeP+ok=")</f>
        <v>#REF!</v>
      </c>
      <c r="EI11" t="e">
        <f>IF(#REF!,"AAAAAFeP+oo=",0)</f>
        <v>#REF!</v>
      </c>
      <c r="EJ11" t="e">
        <f>AND(#REF!,"AAAAAFeP+os=")</f>
        <v>#REF!</v>
      </c>
      <c r="EK11" t="e">
        <f>AND(#REF!,"AAAAAFeP+ow=")</f>
        <v>#REF!</v>
      </c>
      <c r="EL11" t="e">
        <f>AND(#REF!,"AAAAAFeP+o0=")</f>
        <v>#REF!</v>
      </c>
      <c r="EM11" t="e">
        <f>IF(#REF!,"AAAAAFeP+o4=",0)</f>
        <v>#REF!</v>
      </c>
      <c r="EN11" t="e">
        <f>AND(#REF!,"AAAAAFeP+o8=")</f>
        <v>#REF!</v>
      </c>
      <c r="EO11" t="e">
        <f>AND(#REF!,"AAAAAFeP+pA=")</f>
        <v>#REF!</v>
      </c>
      <c r="EP11" t="e">
        <f>AND(#REF!,"AAAAAFeP+pE=")</f>
        <v>#REF!</v>
      </c>
      <c r="EQ11" t="e">
        <f>IF(#REF!,"AAAAAFeP+pI=",0)</f>
        <v>#REF!</v>
      </c>
      <c r="ER11" t="e">
        <f>AND(#REF!,"AAAAAFeP+pM=")</f>
        <v>#REF!</v>
      </c>
      <c r="ES11" t="e">
        <f>AND(#REF!,"AAAAAFeP+pQ=")</f>
        <v>#REF!</v>
      </c>
      <c r="ET11" t="e">
        <f>AND(#REF!,"AAAAAFeP+pU=")</f>
        <v>#REF!</v>
      </c>
      <c r="EU11" t="e">
        <f>IF(#REF!,"AAAAAFeP+pY=",0)</f>
        <v>#REF!</v>
      </c>
      <c r="EV11" t="e">
        <f>AND(#REF!,"AAAAAFeP+pc=")</f>
        <v>#REF!</v>
      </c>
      <c r="EW11" t="e">
        <f>AND(#REF!,"AAAAAFeP+pg=")</f>
        <v>#REF!</v>
      </c>
      <c r="EX11" t="e">
        <f>AND(#REF!,"AAAAAFeP+pk=")</f>
        <v>#REF!</v>
      </c>
      <c r="EY11" t="e">
        <f>IF(#REF!,"AAAAAFeP+po=",0)</f>
        <v>#REF!</v>
      </c>
      <c r="EZ11" t="e">
        <f>AND(#REF!,"AAAAAFeP+ps=")</f>
        <v>#REF!</v>
      </c>
      <c r="FA11" t="e">
        <f>AND(#REF!,"AAAAAFeP+pw=")</f>
        <v>#REF!</v>
      </c>
      <c r="FB11" t="e">
        <f>AND(#REF!,"AAAAAFeP+p0=")</f>
        <v>#REF!</v>
      </c>
      <c r="FC11" t="e">
        <f>IF(#REF!,"AAAAAFeP+p4=",0)</f>
        <v>#REF!</v>
      </c>
      <c r="FD11" t="e">
        <f>AND(#REF!,"AAAAAFeP+p8=")</f>
        <v>#REF!</v>
      </c>
      <c r="FE11" t="e">
        <f>AND(#REF!,"AAAAAFeP+qA=")</f>
        <v>#REF!</v>
      </c>
      <c r="FF11" t="e">
        <f>AND(#REF!,"AAAAAFeP+qE=")</f>
        <v>#REF!</v>
      </c>
      <c r="FG11" t="e">
        <f>IF(#REF!,"AAAAAFeP+qI=",0)</f>
        <v>#REF!</v>
      </c>
      <c r="FH11" t="e">
        <f>AND(#REF!,"AAAAAFeP+qM=")</f>
        <v>#REF!</v>
      </c>
      <c r="FI11" t="e">
        <f>AND(#REF!,"AAAAAFeP+qQ=")</f>
        <v>#REF!</v>
      </c>
      <c r="FJ11" t="e">
        <f>AND(#REF!,"AAAAAFeP+qU=")</f>
        <v>#REF!</v>
      </c>
      <c r="FK11" t="e">
        <f>IF(#REF!,"AAAAAFeP+qY=",0)</f>
        <v>#REF!</v>
      </c>
      <c r="FL11" t="e">
        <f>AND(#REF!,"AAAAAFeP+qc=")</f>
        <v>#REF!</v>
      </c>
      <c r="FM11" t="e">
        <f>AND(#REF!,"AAAAAFeP+qg=")</f>
        <v>#REF!</v>
      </c>
      <c r="FN11" t="e">
        <f>AND(#REF!,"AAAAAFeP+qk=")</f>
        <v>#REF!</v>
      </c>
      <c r="FO11" t="e">
        <f>IF(#REF!,"AAAAAFeP+qo=",0)</f>
        <v>#REF!</v>
      </c>
      <c r="FP11" t="e">
        <f>AND(#REF!,"AAAAAFeP+qs=")</f>
        <v>#REF!</v>
      </c>
      <c r="FQ11" t="e">
        <f>AND(#REF!,"AAAAAFeP+qw=")</f>
        <v>#REF!</v>
      </c>
      <c r="FR11" t="e">
        <f>AND(#REF!,"AAAAAFeP+q0=")</f>
        <v>#REF!</v>
      </c>
      <c r="FS11" t="e">
        <f>IF(#REF!,"AAAAAFeP+q4=",0)</f>
        <v>#REF!</v>
      </c>
      <c r="FT11" t="e">
        <f>AND(#REF!,"AAAAAFeP+q8=")</f>
        <v>#REF!</v>
      </c>
      <c r="FU11" t="e">
        <f>AND(#REF!,"AAAAAFeP+rA=")</f>
        <v>#REF!</v>
      </c>
      <c r="FV11" t="e">
        <f>AND(#REF!,"AAAAAFeP+rE=")</f>
        <v>#REF!</v>
      </c>
      <c r="FW11" t="e">
        <f>IF(#REF!,"AAAAAFeP+rI=",0)</f>
        <v>#REF!</v>
      </c>
      <c r="FX11" t="e">
        <f>IF(#REF!,"AAAAAFeP+rM=",0)</f>
        <v>#REF!</v>
      </c>
      <c r="FY11" t="e">
        <f>IF(#REF!,"AAAAAFeP+rQ=",0)</f>
        <v>#REF!</v>
      </c>
      <c r="FZ11" t="e">
        <f>IF(#REF!,"AAAAAFeP+rU=",0)</f>
        <v>#REF!</v>
      </c>
      <c r="GA11" t="e">
        <f>AND(#REF!,"AAAAAFeP+rY=")</f>
        <v>#REF!</v>
      </c>
      <c r="GB11" t="e">
        <f>AND(#REF!,"AAAAAFeP+rc=")</f>
        <v>#REF!</v>
      </c>
      <c r="GC11" t="e">
        <f>AND(#REF!,"AAAAAFeP+rg=")</f>
        <v>#REF!</v>
      </c>
      <c r="GD11" t="e">
        <f>AND(#REF!,"AAAAAFeP+rk=")</f>
        <v>#REF!</v>
      </c>
      <c r="GE11" t="e">
        <f>AND(#REF!,"AAAAAFeP+ro=")</f>
        <v>#REF!</v>
      </c>
      <c r="GF11" t="e">
        <f>IF(#REF!,"AAAAAFeP+rs=",0)</f>
        <v>#REF!</v>
      </c>
      <c r="GG11" t="e">
        <f>AND(#REF!,"AAAAAFeP+rw=")</f>
        <v>#REF!</v>
      </c>
      <c r="GH11" t="e">
        <f>AND(#REF!,"AAAAAFeP+r0=")</f>
        <v>#REF!</v>
      </c>
      <c r="GI11" t="e">
        <f>AND(#REF!,"AAAAAFeP+r4=")</f>
        <v>#REF!</v>
      </c>
      <c r="GJ11" t="e">
        <f>AND(#REF!,"AAAAAFeP+r8=")</f>
        <v>#REF!</v>
      </c>
      <c r="GK11" t="e">
        <f>AND(#REF!,"AAAAAFeP+sA=")</f>
        <v>#REF!</v>
      </c>
      <c r="GL11" t="e">
        <f>IF(#REF!,"AAAAAFeP+sE=",0)</f>
        <v>#REF!</v>
      </c>
      <c r="GM11" t="e">
        <f>AND(#REF!,"AAAAAFeP+sI=")</f>
        <v>#REF!</v>
      </c>
      <c r="GN11" t="e">
        <f>AND(#REF!,"AAAAAFeP+sM=")</f>
        <v>#REF!</v>
      </c>
      <c r="GO11" t="e">
        <f>AND(#REF!,"AAAAAFeP+sQ=")</f>
        <v>#REF!</v>
      </c>
      <c r="GP11" t="e">
        <f>AND(#REF!,"AAAAAFeP+sU=")</f>
        <v>#REF!</v>
      </c>
      <c r="GQ11" t="e">
        <f>AND(#REF!,"AAAAAFeP+sY=")</f>
        <v>#REF!</v>
      </c>
      <c r="GR11" t="e">
        <f>IF(#REF!,"AAAAAFeP+sc=",0)</f>
        <v>#REF!</v>
      </c>
      <c r="GS11" t="e">
        <f>AND(#REF!,"AAAAAFeP+sg=")</f>
        <v>#REF!</v>
      </c>
      <c r="GT11" t="e">
        <f>AND(#REF!,"AAAAAFeP+sk=")</f>
        <v>#REF!</v>
      </c>
      <c r="GU11" t="e">
        <f>AND(#REF!,"AAAAAFeP+so=")</f>
        <v>#REF!</v>
      </c>
      <c r="GV11" t="e">
        <f>AND(#REF!,"AAAAAFeP+ss=")</f>
        <v>#REF!</v>
      </c>
      <c r="GW11" t="e">
        <f>AND(#REF!,"AAAAAFeP+sw=")</f>
        <v>#REF!</v>
      </c>
      <c r="GX11" t="e">
        <f>IF(#REF!,"AAAAAFeP+s0=",0)</f>
        <v>#REF!</v>
      </c>
      <c r="GY11" t="e">
        <f>AND(#REF!,"AAAAAFeP+s4=")</f>
        <v>#REF!</v>
      </c>
      <c r="GZ11" t="e">
        <f>AND(#REF!,"AAAAAFeP+s8=")</f>
        <v>#REF!</v>
      </c>
      <c r="HA11" t="e">
        <f>AND(#REF!,"AAAAAFeP+tA=")</f>
        <v>#REF!</v>
      </c>
      <c r="HB11" t="e">
        <f>AND(#REF!,"AAAAAFeP+tE=")</f>
        <v>#REF!</v>
      </c>
      <c r="HC11" t="e">
        <f>AND(#REF!,"AAAAAFeP+tI=")</f>
        <v>#REF!</v>
      </c>
      <c r="HD11" t="e">
        <f>IF(#REF!,"AAAAAFeP+tM=",0)</f>
        <v>#REF!</v>
      </c>
      <c r="HE11" t="e">
        <f>AND(#REF!,"AAAAAFeP+tQ=")</f>
        <v>#REF!</v>
      </c>
      <c r="HF11" t="e">
        <f>IF(#REF!,"AAAAAFeP+tU=",0)</f>
        <v>#REF!</v>
      </c>
      <c r="HG11" t="e">
        <f>IF(#REF!,"AAAAAFeP+tY=",0)</f>
        <v>#REF!</v>
      </c>
      <c r="HH11" t="e">
        <f>IF(#REF!,"AAAAAFeP+tc=",0)</f>
        <v>#REF!</v>
      </c>
      <c r="HI11" t="e">
        <f>IF(#REF!,"AAAAAFeP+tg=",0)</f>
        <v>#REF!</v>
      </c>
      <c r="HJ11" t="e">
        <f>IF(#REF!,"AAAAAFeP+tk=",0)</f>
        <v>#REF!</v>
      </c>
      <c r="HK11" t="e">
        <f>IF(#REF!,"AAAAAFeP+to=",0)</f>
        <v>#REF!</v>
      </c>
      <c r="HL11" t="e">
        <f>AND(#REF!,"AAAAAFeP+ts=")</f>
        <v>#REF!</v>
      </c>
      <c r="HM11" t="e">
        <f>AND(#REF!,"AAAAAFeP+tw=")</f>
        <v>#REF!</v>
      </c>
      <c r="HN11" t="e">
        <f>AND(#REF!,"AAAAAFeP+t0=")</f>
        <v>#REF!</v>
      </c>
      <c r="HO11" t="e">
        <f>AND(#REF!,"AAAAAFeP+t4=")</f>
        <v>#REF!</v>
      </c>
      <c r="HP11" t="e">
        <f>IF(#REF!,"AAAAAFeP+t8=",0)</f>
        <v>#REF!</v>
      </c>
      <c r="HQ11" t="e">
        <f>AND(#REF!,"AAAAAFeP+uA=")</f>
        <v>#REF!</v>
      </c>
      <c r="HR11" t="e">
        <f>AND(#REF!,"AAAAAFeP+uE=")</f>
        <v>#REF!</v>
      </c>
      <c r="HS11" t="e">
        <f>AND(#REF!,"AAAAAFeP+uI=")</f>
        <v>#REF!</v>
      </c>
      <c r="HT11" t="e">
        <f>AND(#REF!,"AAAAAFeP+uM=")</f>
        <v>#REF!</v>
      </c>
      <c r="HU11" t="e">
        <f>IF(#REF!,"AAAAAFeP+uQ=",0)</f>
        <v>#REF!</v>
      </c>
      <c r="HV11" t="e">
        <f>AND(#REF!,"AAAAAFeP+uU=")</f>
        <v>#REF!</v>
      </c>
      <c r="HW11" t="e">
        <f>AND(#REF!,"AAAAAFeP+uY=")</f>
        <v>#REF!</v>
      </c>
      <c r="HX11" t="e">
        <f>AND(#REF!,"AAAAAFeP+uc=")</f>
        <v>#REF!</v>
      </c>
      <c r="HY11" t="e">
        <f>AND(#REF!,"AAAAAFeP+ug=")</f>
        <v>#REF!</v>
      </c>
      <c r="HZ11" t="e">
        <f>IF(#REF!,"AAAAAFeP+uk=",0)</f>
        <v>#REF!</v>
      </c>
      <c r="IA11" t="e">
        <f>AND(#REF!,"AAAAAFeP+uo=")</f>
        <v>#REF!</v>
      </c>
      <c r="IB11" t="e">
        <f>AND(#REF!,"AAAAAFeP+us=")</f>
        <v>#REF!</v>
      </c>
      <c r="IC11" t="e">
        <f>AND(#REF!,"AAAAAFeP+uw=")</f>
        <v>#REF!</v>
      </c>
      <c r="ID11" t="e">
        <f>AND(#REF!,"AAAAAFeP+u0=")</f>
        <v>#REF!</v>
      </c>
      <c r="IE11" t="e">
        <f>IF(#REF!,"AAAAAFeP+u4=",0)</f>
        <v>#REF!</v>
      </c>
      <c r="IF11" t="e">
        <f>AND(#REF!,"AAAAAFeP+u8=")</f>
        <v>#REF!</v>
      </c>
      <c r="IG11" t="e">
        <f>AND(#REF!,"AAAAAFeP+vA=")</f>
        <v>#REF!</v>
      </c>
      <c r="IH11" t="e">
        <f>AND(#REF!,"AAAAAFeP+vE=")</f>
        <v>#REF!</v>
      </c>
      <c r="II11" t="e">
        <f>AND(#REF!,"AAAAAFeP+vI=")</f>
        <v>#REF!</v>
      </c>
      <c r="IJ11" t="e">
        <f>IF(#REF!,"AAAAAFeP+vM=",0)</f>
        <v>#REF!</v>
      </c>
      <c r="IK11" t="e">
        <f>AND(#REF!,"AAAAAFeP+vQ=")</f>
        <v>#REF!</v>
      </c>
      <c r="IL11" t="e">
        <f>AND(#REF!,"AAAAAFeP+vU=")</f>
        <v>#REF!</v>
      </c>
      <c r="IM11" t="e">
        <f>AND(#REF!,"AAAAAFeP+vY=")</f>
        <v>#REF!</v>
      </c>
      <c r="IN11" t="e">
        <f>AND(#REF!,"AAAAAFeP+vc=")</f>
        <v>#REF!</v>
      </c>
      <c r="IO11" t="e">
        <f>IF(#REF!,"AAAAAFeP+vg=",0)</f>
        <v>#REF!</v>
      </c>
      <c r="IP11" t="e">
        <f>AND(#REF!,"AAAAAFeP+vk=")</f>
        <v>#REF!</v>
      </c>
      <c r="IQ11" t="e">
        <f>AND(#REF!,"AAAAAFeP+vo=")</f>
        <v>#REF!</v>
      </c>
      <c r="IR11" t="e">
        <f>AND(#REF!,"AAAAAFeP+vs=")</f>
        <v>#REF!</v>
      </c>
      <c r="IS11" t="e">
        <f>AND(#REF!,"AAAAAFeP+vw=")</f>
        <v>#REF!</v>
      </c>
      <c r="IT11" t="e">
        <f>IF(#REF!,"AAAAAFeP+v0=",0)</f>
        <v>#REF!</v>
      </c>
      <c r="IU11" t="e">
        <f>AND(#REF!,"AAAAAFeP+v4=")</f>
        <v>#REF!</v>
      </c>
      <c r="IV11" t="e">
        <f>AND(#REF!,"AAAAAFeP+v8=")</f>
        <v>#REF!</v>
      </c>
    </row>
    <row r="12" spans="1:256">
      <c r="A12" t="e">
        <f>AND(#REF!,"AAAAAHu9dAA=")</f>
        <v>#REF!</v>
      </c>
      <c r="B12" t="e">
        <f>AND(#REF!,"AAAAAHu9dAE=")</f>
        <v>#REF!</v>
      </c>
      <c r="C12" t="e">
        <f>IF(#REF!,"AAAAAHu9dAI=",0)</f>
        <v>#REF!</v>
      </c>
      <c r="D12" t="e">
        <f>AND(#REF!,"AAAAAHu9dAM=")</f>
        <v>#REF!</v>
      </c>
      <c r="E12" t="e">
        <f>AND(#REF!,"AAAAAHu9dAQ=")</f>
        <v>#REF!</v>
      </c>
      <c r="F12" t="e">
        <f>AND(#REF!,"AAAAAHu9dAU=")</f>
        <v>#REF!</v>
      </c>
      <c r="G12" t="e">
        <f>AND(#REF!,"AAAAAHu9dAY=")</f>
        <v>#REF!</v>
      </c>
      <c r="H12" t="e">
        <f>IF(#REF!,"AAAAAHu9dAc=",0)</f>
        <v>#REF!</v>
      </c>
      <c r="I12" t="e">
        <f>AND(#REF!,"AAAAAHu9dAg=")</f>
        <v>#REF!</v>
      </c>
      <c r="J12" t="e">
        <f>AND(#REF!,"AAAAAHu9dAk=")</f>
        <v>#REF!</v>
      </c>
      <c r="K12" t="e">
        <f>AND(#REF!,"AAAAAHu9dAo=")</f>
        <v>#REF!</v>
      </c>
      <c r="L12" t="e">
        <f>AND(#REF!,"AAAAAHu9dAs=")</f>
        <v>#REF!</v>
      </c>
      <c r="M12" t="e">
        <f>IF(#REF!,"AAAAAHu9dAw=",0)</f>
        <v>#REF!</v>
      </c>
      <c r="N12" t="e">
        <f>AND(#REF!,"AAAAAHu9dA0=")</f>
        <v>#REF!</v>
      </c>
      <c r="O12" t="e">
        <f>IF(#REF!,"AAAAAHu9dA4=",0)</f>
        <v>#REF!</v>
      </c>
      <c r="P12" t="e">
        <f>AND(#REF!,"AAAAAHu9dA8=")</f>
        <v>#REF!</v>
      </c>
      <c r="Q12" t="e">
        <f>IF(#REF!,"AAAAAHu9dBA=",0)</f>
        <v>#REF!</v>
      </c>
      <c r="R12" t="e">
        <f>IF(#REF!,"AAAAAHu9dBE=",0)</f>
        <v>#REF!</v>
      </c>
      <c r="S12" t="e">
        <f>IF(#REF!,"AAAAAHu9dBI=",0)</f>
        <v>#REF!</v>
      </c>
      <c r="T12" t="e">
        <f>IF(#REF!,"AAAAAHu9dBM=",0)</f>
        <v>#REF!</v>
      </c>
      <c r="U12" t="e">
        <f>IF(#REF!,"AAAAAHu9dBQ=",0)</f>
        <v>#REF!</v>
      </c>
      <c r="V12" t="e">
        <f>AND(#REF!,"AAAAAHu9dBU=")</f>
        <v>#REF!</v>
      </c>
      <c r="W12" t="e">
        <f>AND(#REF!,"AAAAAHu9dBY=")</f>
        <v>#REF!</v>
      </c>
      <c r="X12" t="e">
        <f>AND(#REF!,"AAAAAHu9dBc=")</f>
        <v>#REF!</v>
      </c>
      <c r="Y12" t="e">
        <f>IF(#REF!,"AAAAAHu9dBg=",0)</f>
        <v>#REF!</v>
      </c>
      <c r="Z12" t="e">
        <f>AND(#REF!,"AAAAAHu9dBk=")</f>
        <v>#REF!</v>
      </c>
      <c r="AA12" t="e">
        <f>AND(#REF!,"AAAAAHu9dBo=")</f>
        <v>#REF!</v>
      </c>
      <c r="AB12" t="e">
        <f>AND(#REF!,"AAAAAHu9dBs=")</f>
        <v>#REF!</v>
      </c>
      <c r="AC12" t="e">
        <f>IF(#REF!,"AAAAAHu9dBw=",0)</f>
        <v>#REF!</v>
      </c>
      <c r="AD12" t="e">
        <f>AND(#REF!,"AAAAAHu9dB0=")</f>
        <v>#REF!</v>
      </c>
      <c r="AE12" t="e">
        <f>AND(#REF!,"AAAAAHu9dB4=")</f>
        <v>#REF!</v>
      </c>
      <c r="AF12" t="e">
        <f>AND(#REF!,"AAAAAHu9dB8=")</f>
        <v>#REF!</v>
      </c>
      <c r="AG12" t="e">
        <f>IF(#REF!,"AAAAAHu9dCA=",0)</f>
        <v>#REF!</v>
      </c>
      <c r="AH12" t="e">
        <f>AND(#REF!,"AAAAAHu9dCE=")</f>
        <v>#REF!</v>
      </c>
      <c r="AI12" t="e">
        <f>AND(#REF!,"AAAAAHu9dCI=")</f>
        <v>#REF!</v>
      </c>
      <c r="AJ12" t="e">
        <f>AND(#REF!,"AAAAAHu9dCM=")</f>
        <v>#REF!</v>
      </c>
      <c r="AK12" t="e">
        <f>IF(#REF!,"AAAAAHu9dCQ=",0)</f>
        <v>#REF!</v>
      </c>
      <c r="AL12" t="e">
        <f>AND(#REF!,"AAAAAHu9dCU=")</f>
        <v>#REF!</v>
      </c>
      <c r="AM12" t="e">
        <f>AND(#REF!,"AAAAAHu9dCY=")</f>
        <v>#REF!</v>
      </c>
      <c r="AN12" t="e">
        <f>AND(#REF!,"AAAAAHu9dCc=")</f>
        <v>#REF!</v>
      </c>
      <c r="AO12" t="e">
        <f>IF(#REF!,"AAAAAHu9dCg=",0)</f>
        <v>#REF!</v>
      </c>
      <c r="AP12" t="e">
        <f>AND(#REF!,"AAAAAHu9dCk=")</f>
        <v>#REF!</v>
      </c>
      <c r="AQ12" t="e">
        <f>AND(#REF!,"AAAAAHu9dCo=")</f>
        <v>#REF!</v>
      </c>
      <c r="AR12" t="e">
        <f>AND(#REF!,"AAAAAHu9dCs=")</f>
        <v>#REF!</v>
      </c>
      <c r="AS12" t="e">
        <f>IF(#REF!,"AAAAAHu9dCw=",0)</f>
        <v>#REF!</v>
      </c>
      <c r="AT12" t="e">
        <f>AND(#REF!,"AAAAAHu9dC0=")</f>
        <v>#REF!</v>
      </c>
      <c r="AU12" t="e">
        <f>AND(#REF!,"AAAAAHu9dC4=")</f>
        <v>#REF!</v>
      </c>
      <c r="AV12" t="e">
        <f>AND(#REF!,"AAAAAHu9dC8=")</f>
        <v>#REF!</v>
      </c>
      <c r="AW12" t="e">
        <f>IF(#REF!,"AAAAAHu9dDA=",0)</f>
        <v>#REF!</v>
      </c>
      <c r="AX12" t="e">
        <f>AND(#REF!,"AAAAAHu9dDE=")</f>
        <v>#REF!</v>
      </c>
      <c r="AY12" t="e">
        <f>AND(#REF!,"AAAAAHu9dDI=")</f>
        <v>#REF!</v>
      </c>
      <c r="AZ12" t="e">
        <f>AND(#REF!,"AAAAAHu9dDM=")</f>
        <v>#REF!</v>
      </c>
      <c r="BA12" t="e">
        <f>IF(#REF!,"AAAAAHu9dDQ=",0)</f>
        <v>#REF!</v>
      </c>
      <c r="BB12" t="e">
        <f>AND(#REF!,"AAAAAHu9dDU=")</f>
        <v>#REF!</v>
      </c>
      <c r="BC12" t="e">
        <f>AND(#REF!,"AAAAAHu9dDY=")</f>
        <v>#REF!</v>
      </c>
      <c r="BD12" t="e">
        <f>AND(#REF!,"AAAAAHu9dDc=")</f>
        <v>#REF!</v>
      </c>
      <c r="BE12" t="e">
        <f>IF(#REF!,"AAAAAHu9dDg=",0)</f>
        <v>#REF!</v>
      </c>
      <c r="BF12" t="e">
        <f>AND(#REF!,"AAAAAHu9dDk=")</f>
        <v>#REF!</v>
      </c>
      <c r="BG12" t="e">
        <f>AND(#REF!,"AAAAAHu9dDo=")</f>
        <v>#REF!</v>
      </c>
      <c r="BH12" t="e">
        <f>AND(#REF!,"AAAAAHu9dDs=")</f>
        <v>#REF!</v>
      </c>
      <c r="BI12" t="e">
        <f>IF(#REF!,"AAAAAHu9dDw=",0)</f>
        <v>#REF!</v>
      </c>
      <c r="BJ12" t="e">
        <f>IF(#REF!,"AAAAAHu9dD0=",0)</f>
        <v>#REF!</v>
      </c>
      <c r="BK12" t="e">
        <f>IF(#REF!,"AAAAAHu9dD4=",0)</f>
        <v>#REF!</v>
      </c>
      <c r="BL12" t="e">
        <f>IF(#REF!,"AAAAAHu9dD8=",0)</f>
        <v>#REF!</v>
      </c>
      <c r="BM12" t="e">
        <f>AND(#REF!,"AAAAAHu9dEA=")</f>
        <v>#REF!</v>
      </c>
      <c r="BN12" t="e">
        <f>AND(#REF!,"AAAAAHu9dEE=")</f>
        <v>#REF!</v>
      </c>
      <c r="BO12" t="e">
        <f>AND(#REF!,"AAAAAHu9dEI=")</f>
        <v>#REF!</v>
      </c>
      <c r="BP12" t="e">
        <f>AND(#REF!,"AAAAAHu9dEM=")</f>
        <v>#REF!</v>
      </c>
      <c r="BQ12" t="e">
        <f>AND(#REF!,"AAAAAHu9dEQ=")</f>
        <v>#REF!</v>
      </c>
      <c r="BR12" t="e">
        <f>IF(#REF!,"AAAAAHu9dEU=",0)</f>
        <v>#REF!</v>
      </c>
      <c r="BS12" t="e">
        <f>AND(#REF!,"AAAAAHu9dEY=")</f>
        <v>#REF!</v>
      </c>
      <c r="BT12" t="e">
        <f>AND(#REF!,"AAAAAHu9dEc=")</f>
        <v>#REF!</v>
      </c>
      <c r="BU12" t="e">
        <f>AND(#REF!,"AAAAAHu9dEg=")</f>
        <v>#REF!</v>
      </c>
      <c r="BV12" t="e">
        <f>AND(#REF!,"AAAAAHu9dEk=")</f>
        <v>#REF!</v>
      </c>
      <c r="BW12" t="e">
        <f>AND(#REF!,"AAAAAHu9dEo=")</f>
        <v>#REF!</v>
      </c>
      <c r="BX12" t="e">
        <f>IF(#REF!,"AAAAAHu9dEs=",0)</f>
        <v>#REF!</v>
      </c>
      <c r="BY12" t="e">
        <f>AND(#REF!,"AAAAAHu9dEw=")</f>
        <v>#REF!</v>
      </c>
      <c r="BZ12" t="e">
        <f>AND(#REF!,"AAAAAHu9dE0=")</f>
        <v>#REF!</v>
      </c>
      <c r="CA12" t="e">
        <f>AND(#REF!,"AAAAAHu9dE4=")</f>
        <v>#REF!</v>
      </c>
      <c r="CB12" t="e">
        <f>AND(#REF!,"AAAAAHu9dE8=")</f>
        <v>#REF!</v>
      </c>
      <c r="CC12" t="e">
        <f>AND(#REF!,"AAAAAHu9dFA=")</f>
        <v>#REF!</v>
      </c>
      <c r="CD12" t="e">
        <f>IF(#REF!,"AAAAAHu9dFE=",0)</f>
        <v>#REF!</v>
      </c>
      <c r="CE12" t="e">
        <f>AND(#REF!,"AAAAAHu9dFI=")</f>
        <v>#REF!</v>
      </c>
      <c r="CF12" t="e">
        <f>AND(#REF!,"AAAAAHu9dFM=")</f>
        <v>#REF!</v>
      </c>
      <c r="CG12" t="e">
        <f>AND(#REF!,"AAAAAHu9dFQ=")</f>
        <v>#REF!</v>
      </c>
      <c r="CH12" t="e">
        <f>AND(#REF!,"AAAAAHu9dFU=")</f>
        <v>#REF!</v>
      </c>
      <c r="CI12" t="e">
        <f>AND(#REF!,"AAAAAHu9dFY=")</f>
        <v>#REF!</v>
      </c>
      <c r="CJ12" t="e">
        <f>IF(#REF!,"AAAAAHu9dFc=",0)</f>
        <v>#REF!</v>
      </c>
      <c r="CK12" t="e">
        <f>AND(#REF!,"AAAAAHu9dFg=")</f>
        <v>#REF!</v>
      </c>
      <c r="CL12" t="e">
        <f>AND(#REF!,"AAAAAHu9dFk=")</f>
        <v>#REF!</v>
      </c>
      <c r="CM12" t="e">
        <f>AND(#REF!,"AAAAAHu9dFo=")</f>
        <v>#REF!</v>
      </c>
      <c r="CN12" t="e">
        <f>AND(#REF!,"AAAAAHu9dFs=")</f>
        <v>#REF!</v>
      </c>
      <c r="CO12" t="e">
        <f>AND(#REF!,"AAAAAHu9dFw=")</f>
        <v>#REF!</v>
      </c>
      <c r="CP12" t="e">
        <f>IF(#REF!,"AAAAAHu9dF0=",0)</f>
        <v>#REF!</v>
      </c>
      <c r="CQ12" t="e">
        <f>AND(#REF!,"AAAAAHu9dF4=")</f>
        <v>#REF!</v>
      </c>
      <c r="CR12" t="e">
        <f>AND(#REF!,"AAAAAHu9dF8=")</f>
        <v>#REF!</v>
      </c>
      <c r="CS12" t="e">
        <f>AND(#REF!,"AAAAAHu9dGA=")</f>
        <v>#REF!</v>
      </c>
      <c r="CT12" t="e">
        <f>AND(#REF!,"AAAAAHu9dGE=")</f>
        <v>#REF!</v>
      </c>
      <c r="CU12" t="e">
        <f>AND(#REF!,"AAAAAHu9dGI=")</f>
        <v>#REF!</v>
      </c>
      <c r="CV12" t="e">
        <f>IF(#REF!,"AAAAAHu9dGM=",0)</f>
        <v>#REF!</v>
      </c>
      <c r="CW12" t="e">
        <f>AND(#REF!,"AAAAAHu9dGQ=")</f>
        <v>#REF!</v>
      </c>
      <c r="CX12" t="e">
        <f>AND(#REF!,"AAAAAHu9dGU=")</f>
        <v>#REF!</v>
      </c>
      <c r="CY12" t="e">
        <f>AND(#REF!,"AAAAAHu9dGY=")</f>
        <v>#REF!</v>
      </c>
      <c r="CZ12" t="e">
        <f>AND(#REF!,"AAAAAHu9dGc=")</f>
        <v>#REF!</v>
      </c>
      <c r="DA12" t="e">
        <f>AND(#REF!,"AAAAAHu9dGg=")</f>
        <v>#REF!</v>
      </c>
      <c r="DB12" t="e">
        <f>IF(#REF!,"AAAAAHu9dGk=",0)</f>
        <v>#REF!</v>
      </c>
      <c r="DC12" t="e">
        <f>AND(#REF!,"AAAAAHu9dGo=")</f>
        <v>#REF!</v>
      </c>
      <c r="DD12" t="e">
        <f>AND(#REF!,"AAAAAHu9dGs=")</f>
        <v>#REF!</v>
      </c>
      <c r="DE12" t="e">
        <f>AND(#REF!,"AAAAAHu9dGw=")</f>
        <v>#REF!</v>
      </c>
      <c r="DF12" t="e">
        <f>AND(#REF!,"AAAAAHu9dG0=")</f>
        <v>#REF!</v>
      </c>
      <c r="DG12" t="e">
        <f>AND(#REF!,"AAAAAHu9dG4=")</f>
        <v>#REF!</v>
      </c>
      <c r="DH12" t="e">
        <f>IF(#REF!,"AAAAAHu9dG8=",0)</f>
        <v>#REF!</v>
      </c>
      <c r="DI12" t="e">
        <f>AND(#REF!,"AAAAAHu9dHA=")</f>
        <v>#REF!</v>
      </c>
      <c r="DJ12" t="e">
        <f>AND(#REF!,"AAAAAHu9dHE=")</f>
        <v>#REF!</v>
      </c>
      <c r="DK12" t="e">
        <f>AND(#REF!,"AAAAAHu9dHI=")</f>
        <v>#REF!</v>
      </c>
      <c r="DL12" t="e">
        <f>AND(#REF!,"AAAAAHu9dHM=")</f>
        <v>#REF!</v>
      </c>
      <c r="DM12" t="e">
        <f>AND(#REF!,"AAAAAHu9dHQ=")</f>
        <v>#REF!</v>
      </c>
      <c r="DN12" t="e">
        <f>IF(#REF!,"AAAAAHu9dHU=",0)</f>
        <v>#REF!</v>
      </c>
      <c r="DO12" t="e">
        <f>AND(#REF!,"AAAAAHu9dHY=")</f>
        <v>#REF!</v>
      </c>
      <c r="DP12" t="e">
        <f>AND(#REF!,"AAAAAHu9dHc=")</f>
        <v>#REF!</v>
      </c>
      <c r="DQ12" t="e">
        <f>AND(#REF!,"AAAAAHu9dHg=")</f>
        <v>#REF!</v>
      </c>
      <c r="DR12" t="e">
        <f>AND(#REF!,"AAAAAHu9dHk=")</f>
        <v>#REF!</v>
      </c>
      <c r="DS12" t="e">
        <f>AND(#REF!,"AAAAAHu9dHo=")</f>
        <v>#REF!</v>
      </c>
      <c r="DT12" t="e">
        <f>IF(#REF!,"AAAAAHu9dHs=",0)</f>
        <v>#REF!</v>
      </c>
      <c r="DU12" t="e">
        <f>AND(#REF!,"AAAAAHu9dHw=")</f>
        <v>#REF!</v>
      </c>
      <c r="DV12" t="e">
        <f>AND(#REF!,"AAAAAHu9dH0=")</f>
        <v>#REF!</v>
      </c>
      <c r="DW12" t="e">
        <f>AND(#REF!,"AAAAAHu9dH4=")</f>
        <v>#REF!</v>
      </c>
      <c r="DX12" t="e">
        <f>AND(#REF!,"AAAAAHu9dH8=")</f>
        <v>#REF!</v>
      </c>
      <c r="DY12" t="e">
        <f>AND(#REF!,"AAAAAHu9dIA=")</f>
        <v>#REF!</v>
      </c>
      <c r="DZ12" t="e">
        <f>IF(#REF!,"AAAAAHu9dIE=",0)</f>
        <v>#REF!</v>
      </c>
      <c r="EA12" t="e">
        <f>AND(#REF!,"AAAAAHu9dII=")</f>
        <v>#REF!</v>
      </c>
      <c r="EB12" t="e">
        <f>AND(#REF!,"AAAAAHu9dIM=")</f>
        <v>#REF!</v>
      </c>
      <c r="EC12" t="e">
        <f>AND(#REF!,"AAAAAHu9dIQ=")</f>
        <v>#REF!</v>
      </c>
      <c r="ED12" t="e">
        <f>AND(#REF!,"AAAAAHu9dIU=")</f>
        <v>#REF!</v>
      </c>
      <c r="EE12" t="e">
        <f>AND(#REF!,"AAAAAHu9dIY=")</f>
        <v>#REF!</v>
      </c>
      <c r="EF12" t="e">
        <f>IF(#REF!,"AAAAAHu9dIc=",0)</f>
        <v>#REF!</v>
      </c>
      <c r="EG12" t="e">
        <f>AND(#REF!,"AAAAAHu9dIg=")</f>
        <v>#REF!</v>
      </c>
      <c r="EH12" t="e">
        <f>AND(#REF!,"AAAAAHu9dIk=")</f>
        <v>#REF!</v>
      </c>
      <c r="EI12" t="e">
        <f>AND(#REF!,"AAAAAHu9dIo=")</f>
        <v>#REF!</v>
      </c>
      <c r="EJ12" t="e">
        <f>AND(#REF!,"AAAAAHu9dIs=")</f>
        <v>#REF!</v>
      </c>
      <c r="EK12" t="e">
        <f>AND(#REF!,"AAAAAHu9dIw=")</f>
        <v>#REF!</v>
      </c>
      <c r="EL12" t="e">
        <f>IF(#REF!,"AAAAAHu9dI0=",0)</f>
        <v>#REF!</v>
      </c>
      <c r="EM12" t="e">
        <f>IF(#REF!,"AAAAAHu9dI4=",0)</f>
        <v>#REF!</v>
      </c>
      <c r="EN12" t="e">
        <f>IF(#REF!,"AAAAAHu9dI8=",0)</f>
        <v>#REF!</v>
      </c>
      <c r="EO12" t="e">
        <f>IF(#REF!,"AAAAAHu9dJA=",0)</f>
        <v>#REF!</v>
      </c>
      <c r="EP12" t="e">
        <f>IF(#REF!,"AAAAAHu9dJE=",0)</f>
        <v>#REF!</v>
      </c>
      <c r="EQ12" t="s">
        <v>8</v>
      </c>
    </row>
  </sheetData>
  <phoneticPr fontId="1"/>
  <pageMargins left="0.7" right="0.7" top="0.75" bottom="0.75" header="0.3" footer="0.3"/>
  <pageSetup paperSize="9" scale="9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H27"/>
  <sheetViews>
    <sheetView view="pageBreakPreview" zoomScale="60" workbookViewId="0">
      <selection activeCell="A46" sqref="A46"/>
    </sheetView>
  </sheetViews>
  <sheetFormatPr defaultRowHeight="13.5"/>
  <cols>
    <col min="1" max="1" width="3.5" customWidth="1"/>
    <col min="2" max="2" width="12.25" customWidth="1"/>
    <col min="3" max="8" width="13.5" customWidth="1"/>
    <col min="257" max="257" width="3.5" customWidth="1"/>
    <col min="258" max="258" width="12.25" customWidth="1"/>
    <col min="259" max="264" width="13.5" customWidth="1"/>
    <col min="513" max="513" width="3.5" customWidth="1"/>
    <col min="514" max="514" width="12.25" customWidth="1"/>
    <col min="515" max="520" width="13.5" customWidth="1"/>
    <col min="769" max="769" width="3.5" customWidth="1"/>
    <col min="770" max="770" width="12.25" customWidth="1"/>
    <col min="771" max="776" width="13.5" customWidth="1"/>
    <col min="1025" max="1025" width="3.5" customWidth="1"/>
    <col min="1026" max="1026" width="12.25" customWidth="1"/>
    <col min="1027" max="1032" width="13.5" customWidth="1"/>
    <col min="1281" max="1281" width="3.5" customWidth="1"/>
    <col min="1282" max="1282" width="12.25" customWidth="1"/>
    <col min="1283" max="1288" width="13.5" customWidth="1"/>
    <col min="1537" max="1537" width="3.5" customWidth="1"/>
    <col min="1538" max="1538" width="12.25" customWidth="1"/>
    <col min="1539" max="1544" width="13.5" customWidth="1"/>
    <col min="1793" max="1793" width="3.5" customWidth="1"/>
    <col min="1794" max="1794" width="12.25" customWidth="1"/>
    <col min="1795" max="1800" width="13.5" customWidth="1"/>
    <col min="2049" max="2049" width="3.5" customWidth="1"/>
    <col min="2050" max="2050" width="12.25" customWidth="1"/>
    <col min="2051" max="2056" width="13.5" customWidth="1"/>
    <col min="2305" max="2305" width="3.5" customWidth="1"/>
    <col min="2306" max="2306" width="12.25" customWidth="1"/>
    <col min="2307" max="2312" width="13.5" customWidth="1"/>
    <col min="2561" max="2561" width="3.5" customWidth="1"/>
    <col min="2562" max="2562" width="12.25" customWidth="1"/>
    <col min="2563" max="2568" width="13.5" customWidth="1"/>
    <col min="2817" max="2817" width="3.5" customWidth="1"/>
    <col min="2818" max="2818" width="12.25" customWidth="1"/>
    <col min="2819" max="2824" width="13.5" customWidth="1"/>
    <col min="3073" max="3073" width="3.5" customWidth="1"/>
    <col min="3074" max="3074" width="12.25" customWidth="1"/>
    <col min="3075" max="3080" width="13.5" customWidth="1"/>
    <col min="3329" max="3329" width="3.5" customWidth="1"/>
    <col min="3330" max="3330" width="12.25" customWidth="1"/>
    <col min="3331" max="3336" width="13.5" customWidth="1"/>
    <col min="3585" max="3585" width="3.5" customWidth="1"/>
    <col min="3586" max="3586" width="12.25" customWidth="1"/>
    <col min="3587" max="3592" width="13.5" customWidth="1"/>
    <col min="3841" max="3841" width="3.5" customWidth="1"/>
    <col min="3842" max="3842" width="12.25" customWidth="1"/>
    <col min="3843" max="3848" width="13.5" customWidth="1"/>
    <col min="4097" max="4097" width="3.5" customWidth="1"/>
    <col min="4098" max="4098" width="12.25" customWidth="1"/>
    <col min="4099" max="4104" width="13.5" customWidth="1"/>
    <col min="4353" max="4353" width="3.5" customWidth="1"/>
    <col min="4354" max="4354" width="12.25" customWidth="1"/>
    <col min="4355" max="4360" width="13.5" customWidth="1"/>
    <col min="4609" max="4609" width="3.5" customWidth="1"/>
    <col min="4610" max="4610" width="12.25" customWidth="1"/>
    <col min="4611" max="4616" width="13.5" customWidth="1"/>
    <col min="4865" max="4865" width="3.5" customWidth="1"/>
    <col min="4866" max="4866" width="12.25" customWidth="1"/>
    <col min="4867" max="4872" width="13.5" customWidth="1"/>
    <col min="5121" max="5121" width="3.5" customWidth="1"/>
    <col min="5122" max="5122" width="12.25" customWidth="1"/>
    <col min="5123" max="5128" width="13.5" customWidth="1"/>
    <col min="5377" max="5377" width="3.5" customWidth="1"/>
    <col min="5378" max="5378" width="12.25" customWidth="1"/>
    <col min="5379" max="5384" width="13.5" customWidth="1"/>
    <col min="5633" max="5633" width="3.5" customWidth="1"/>
    <col min="5634" max="5634" width="12.25" customWidth="1"/>
    <col min="5635" max="5640" width="13.5" customWidth="1"/>
    <col min="5889" max="5889" width="3.5" customWidth="1"/>
    <col min="5890" max="5890" width="12.25" customWidth="1"/>
    <col min="5891" max="5896" width="13.5" customWidth="1"/>
    <col min="6145" max="6145" width="3.5" customWidth="1"/>
    <col min="6146" max="6146" width="12.25" customWidth="1"/>
    <col min="6147" max="6152" width="13.5" customWidth="1"/>
    <col min="6401" max="6401" width="3.5" customWidth="1"/>
    <col min="6402" max="6402" width="12.25" customWidth="1"/>
    <col min="6403" max="6408" width="13.5" customWidth="1"/>
    <col min="6657" max="6657" width="3.5" customWidth="1"/>
    <col min="6658" max="6658" width="12.25" customWidth="1"/>
    <col min="6659" max="6664" width="13.5" customWidth="1"/>
    <col min="6913" max="6913" width="3.5" customWidth="1"/>
    <col min="6914" max="6914" width="12.25" customWidth="1"/>
    <col min="6915" max="6920" width="13.5" customWidth="1"/>
    <col min="7169" max="7169" width="3.5" customWidth="1"/>
    <col min="7170" max="7170" width="12.25" customWidth="1"/>
    <col min="7171" max="7176" width="13.5" customWidth="1"/>
    <col min="7425" max="7425" width="3.5" customWidth="1"/>
    <col min="7426" max="7426" width="12.25" customWidth="1"/>
    <col min="7427" max="7432" width="13.5" customWidth="1"/>
    <col min="7681" max="7681" width="3.5" customWidth="1"/>
    <col min="7682" max="7682" width="12.25" customWidth="1"/>
    <col min="7683" max="7688" width="13.5" customWidth="1"/>
    <col min="7937" max="7937" width="3.5" customWidth="1"/>
    <col min="7938" max="7938" width="12.25" customWidth="1"/>
    <col min="7939" max="7944" width="13.5" customWidth="1"/>
    <col min="8193" max="8193" width="3.5" customWidth="1"/>
    <col min="8194" max="8194" width="12.25" customWidth="1"/>
    <col min="8195" max="8200" width="13.5" customWidth="1"/>
    <col min="8449" max="8449" width="3.5" customWidth="1"/>
    <col min="8450" max="8450" width="12.25" customWidth="1"/>
    <col min="8451" max="8456" width="13.5" customWidth="1"/>
    <col min="8705" max="8705" width="3.5" customWidth="1"/>
    <col min="8706" max="8706" width="12.25" customWidth="1"/>
    <col min="8707" max="8712" width="13.5" customWidth="1"/>
    <col min="8961" max="8961" width="3.5" customWidth="1"/>
    <col min="8962" max="8962" width="12.25" customWidth="1"/>
    <col min="8963" max="8968" width="13.5" customWidth="1"/>
    <col min="9217" max="9217" width="3.5" customWidth="1"/>
    <col min="9218" max="9218" width="12.25" customWidth="1"/>
    <col min="9219" max="9224" width="13.5" customWidth="1"/>
    <col min="9473" max="9473" width="3.5" customWidth="1"/>
    <col min="9474" max="9474" width="12.25" customWidth="1"/>
    <col min="9475" max="9480" width="13.5" customWidth="1"/>
    <col min="9729" max="9729" width="3.5" customWidth="1"/>
    <col min="9730" max="9730" width="12.25" customWidth="1"/>
    <col min="9731" max="9736" width="13.5" customWidth="1"/>
    <col min="9985" max="9985" width="3.5" customWidth="1"/>
    <col min="9986" max="9986" width="12.25" customWidth="1"/>
    <col min="9987" max="9992" width="13.5" customWidth="1"/>
    <col min="10241" max="10241" width="3.5" customWidth="1"/>
    <col min="10242" max="10242" width="12.25" customWidth="1"/>
    <col min="10243" max="10248" width="13.5" customWidth="1"/>
    <col min="10497" max="10497" width="3.5" customWidth="1"/>
    <col min="10498" max="10498" width="12.25" customWidth="1"/>
    <col min="10499" max="10504" width="13.5" customWidth="1"/>
    <col min="10753" max="10753" width="3.5" customWidth="1"/>
    <col min="10754" max="10754" width="12.25" customWidth="1"/>
    <col min="10755" max="10760" width="13.5" customWidth="1"/>
    <col min="11009" max="11009" width="3.5" customWidth="1"/>
    <col min="11010" max="11010" width="12.25" customWidth="1"/>
    <col min="11011" max="11016" width="13.5" customWidth="1"/>
    <col min="11265" max="11265" width="3.5" customWidth="1"/>
    <col min="11266" max="11266" width="12.25" customWidth="1"/>
    <col min="11267" max="11272" width="13.5" customWidth="1"/>
    <col min="11521" max="11521" width="3.5" customWidth="1"/>
    <col min="11522" max="11522" width="12.25" customWidth="1"/>
    <col min="11523" max="11528" width="13.5" customWidth="1"/>
    <col min="11777" max="11777" width="3.5" customWidth="1"/>
    <col min="11778" max="11778" width="12.25" customWidth="1"/>
    <col min="11779" max="11784" width="13.5" customWidth="1"/>
    <col min="12033" max="12033" width="3.5" customWidth="1"/>
    <col min="12034" max="12034" width="12.25" customWidth="1"/>
    <col min="12035" max="12040" width="13.5" customWidth="1"/>
    <col min="12289" max="12289" width="3.5" customWidth="1"/>
    <col min="12290" max="12290" width="12.25" customWidth="1"/>
    <col min="12291" max="12296" width="13.5" customWidth="1"/>
    <col min="12545" max="12545" width="3.5" customWidth="1"/>
    <col min="12546" max="12546" width="12.25" customWidth="1"/>
    <col min="12547" max="12552" width="13.5" customWidth="1"/>
    <col min="12801" max="12801" width="3.5" customWidth="1"/>
    <col min="12802" max="12802" width="12.25" customWidth="1"/>
    <col min="12803" max="12808" width="13.5" customWidth="1"/>
    <col min="13057" max="13057" width="3.5" customWidth="1"/>
    <col min="13058" max="13058" width="12.25" customWidth="1"/>
    <col min="13059" max="13064" width="13.5" customWidth="1"/>
    <col min="13313" max="13313" width="3.5" customWidth="1"/>
    <col min="13314" max="13314" width="12.25" customWidth="1"/>
    <col min="13315" max="13320" width="13.5" customWidth="1"/>
    <col min="13569" max="13569" width="3.5" customWidth="1"/>
    <col min="13570" max="13570" width="12.25" customWidth="1"/>
    <col min="13571" max="13576" width="13.5" customWidth="1"/>
    <col min="13825" max="13825" width="3.5" customWidth="1"/>
    <col min="13826" max="13826" width="12.25" customWidth="1"/>
    <col min="13827" max="13832" width="13.5" customWidth="1"/>
    <col min="14081" max="14081" width="3.5" customWidth="1"/>
    <col min="14082" max="14082" width="12.25" customWidth="1"/>
    <col min="14083" max="14088" width="13.5" customWidth="1"/>
    <col min="14337" max="14337" width="3.5" customWidth="1"/>
    <col min="14338" max="14338" width="12.25" customWidth="1"/>
    <col min="14339" max="14344" width="13.5" customWidth="1"/>
    <col min="14593" max="14593" width="3.5" customWidth="1"/>
    <col min="14594" max="14594" width="12.25" customWidth="1"/>
    <col min="14595" max="14600" width="13.5" customWidth="1"/>
    <col min="14849" max="14849" width="3.5" customWidth="1"/>
    <col min="14850" max="14850" width="12.25" customWidth="1"/>
    <col min="14851" max="14856" width="13.5" customWidth="1"/>
    <col min="15105" max="15105" width="3.5" customWidth="1"/>
    <col min="15106" max="15106" width="12.25" customWidth="1"/>
    <col min="15107" max="15112" width="13.5" customWidth="1"/>
    <col min="15361" max="15361" width="3.5" customWidth="1"/>
    <col min="15362" max="15362" width="12.25" customWidth="1"/>
    <col min="15363" max="15368" width="13.5" customWidth="1"/>
    <col min="15617" max="15617" width="3.5" customWidth="1"/>
    <col min="15618" max="15618" width="12.25" customWidth="1"/>
    <col min="15619" max="15624" width="13.5" customWidth="1"/>
    <col min="15873" max="15873" width="3.5" customWidth="1"/>
    <col min="15874" max="15874" width="12.25" customWidth="1"/>
    <col min="15875" max="15880" width="13.5" customWidth="1"/>
    <col min="16129" max="16129" width="3.5" customWidth="1"/>
    <col min="16130" max="16130" width="12.25" customWidth="1"/>
    <col min="16131" max="16136" width="13.5" customWidth="1"/>
  </cols>
  <sheetData>
    <row r="1" spans="1:8">
      <c r="A1" t="s">
        <v>198</v>
      </c>
      <c r="F1" t="s">
        <v>133</v>
      </c>
    </row>
    <row r="3" spans="1:8">
      <c r="B3" t="s">
        <v>50</v>
      </c>
    </row>
    <row r="4" spans="1:8" ht="5.25" customHeight="1"/>
    <row r="5" spans="1:8" ht="28.5" customHeight="1">
      <c r="B5" s="11" t="s">
        <v>105</v>
      </c>
      <c r="C5" s="17" t="s">
        <v>51</v>
      </c>
      <c r="D5" s="22"/>
      <c r="E5" s="26"/>
      <c r="F5" s="11" t="s">
        <v>56</v>
      </c>
      <c r="G5" s="11"/>
      <c r="H5" s="11"/>
    </row>
    <row r="6" spans="1:8" ht="28.5" customHeight="1">
      <c r="B6" s="11" t="s">
        <v>151</v>
      </c>
      <c r="C6" s="18" t="s">
        <v>152</v>
      </c>
      <c r="D6" s="23"/>
      <c r="E6" s="25"/>
      <c r="F6" s="27" t="s">
        <v>153</v>
      </c>
      <c r="G6" s="27"/>
      <c r="H6" s="27"/>
    </row>
    <row r="7" spans="1:8" ht="28.5" customHeight="1">
      <c r="B7" s="11" t="s">
        <v>154</v>
      </c>
      <c r="C7" s="18" t="s">
        <v>152</v>
      </c>
      <c r="D7" s="23"/>
      <c r="E7" s="25"/>
      <c r="F7" s="27" t="s">
        <v>156</v>
      </c>
      <c r="G7" s="27"/>
      <c r="H7" s="27"/>
    </row>
    <row r="8" spans="1:8" ht="28.5" customHeight="1">
      <c r="B8" s="11" t="s">
        <v>173</v>
      </c>
      <c r="C8" s="18" t="s">
        <v>152</v>
      </c>
      <c r="D8" s="23"/>
      <c r="E8" s="25"/>
      <c r="F8" s="28"/>
      <c r="G8" s="29"/>
      <c r="H8" s="31"/>
    </row>
    <row r="9" spans="1:8" ht="28.5" customHeight="1">
      <c r="B9" s="11" t="s">
        <v>157</v>
      </c>
      <c r="C9" s="18" t="s">
        <v>152</v>
      </c>
      <c r="D9" s="23"/>
      <c r="E9" s="25"/>
      <c r="F9" s="7" t="s">
        <v>158</v>
      </c>
      <c r="G9" s="7"/>
      <c r="H9" s="7"/>
    </row>
    <row r="10" spans="1:8" ht="27">
      <c r="B10" s="12" t="s">
        <v>1</v>
      </c>
      <c r="C10" s="18" t="s">
        <v>152</v>
      </c>
      <c r="D10" s="23"/>
      <c r="E10" s="25"/>
      <c r="F10" s="7"/>
      <c r="G10" s="7"/>
      <c r="H10" s="7"/>
    </row>
    <row r="13" spans="1:8">
      <c r="B13" t="s">
        <v>159</v>
      </c>
    </row>
    <row r="14" spans="1:8" ht="6" customHeight="1"/>
    <row r="15" spans="1:8" ht="32.25" customHeight="1">
      <c r="B15" s="13"/>
      <c r="C15" s="19" t="s">
        <v>161</v>
      </c>
      <c r="D15" s="19"/>
      <c r="E15" s="19" t="s">
        <v>38</v>
      </c>
      <c r="F15" s="19"/>
      <c r="G15" s="30" t="s">
        <v>162</v>
      </c>
      <c r="H15" s="19"/>
    </row>
    <row r="16" spans="1:8" ht="17.25" customHeight="1">
      <c r="B16" s="14"/>
      <c r="C16" s="20" t="s">
        <v>97</v>
      </c>
      <c r="D16" s="24" t="s">
        <v>31</v>
      </c>
      <c r="E16" s="20" t="s">
        <v>97</v>
      </c>
      <c r="F16" s="24" t="s">
        <v>31</v>
      </c>
      <c r="G16" s="20" t="s">
        <v>97</v>
      </c>
      <c r="H16" s="24" t="s">
        <v>31</v>
      </c>
    </row>
    <row r="17" spans="2:8" ht="28.5" customHeight="1">
      <c r="B17" s="11" t="s">
        <v>163</v>
      </c>
      <c r="C17" s="18" t="s">
        <v>29</v>
      </c>
      <c r="D17" s="25" t="s">
        <v>152</v>
      </c>
      <c r="E17" s="18" t="s">
        <v>29</v>
      </c>
      <c r="F17" s="25" t="s">
        <v>152</v>
      </c>
      <c r="G17" s="18" t="s">
        <v>29</v>
      </c>
      <c r="H17" s="25" t="s">
        <v>152</v>
      </c>
    </row>
    <row r="18" spans="2:8" ht="30" customHeight="1">
      <c r="B18" s="11" t="s">
        <v>164</v>
      </c>
      <c r="C18" s="18" t="s">
        <v>29</v>
      </c>
      <c r="D18" s="25" t="s">
        <v>152</v>
      </c>
      <c r="E18" s="18" t="s">
        <v>29</v>
      </c>
      <c r="F18" s="25" t="s">
        <v>152</v>
      </c>
      <c r="G18" s="18" t="s">
        <v>29</v>
      </c>
      <c r="H18" s="25" t="s">
        <v>152</v>
      </c>
    </row>
    <row r="19" spans="2:8" ht="27">
      <c r="B19" s="12" t="s">
        <v>165</v>
      </c>
      <c r="C19" s="18" t="s">
        <v>29</v>
      </c>
      <c r="D19" s="25" t="s">
        <v>152</v>
      </c>
      <c r="E19" s="18" t="s">
        <v>29</v>
      </c>
      <c r="F19" s="25" t="s">
        <v>152</v>
      </c>
      <c r="G19" s="18" t="s">
        <v>29</v>
      </c>
      <c r="H19" s="25" t="s">
        <v>152</v>
      </c>
    </row>
    <row r="20" spans="2:8" ht="27">
      <c r="B20" s="12" t="s">
        <v>26</v>
      </c>
      <c r="C20" s="18" t="s">
        <v>29</v>
      </c>
      <c r="D20" s="25" t="s">
        <v>152</v>
      </c>
      <c r="E20" s="18" t="s">
        <v>29</v>
      </c>
      <c r="F20" s="25" t="s">
        <v>152</v>
      </c>
      <c r="G20" s="18" t="s">
        <v>29</v>
      </c>
      <c r="H20" s="25" t="s">
        <v>152</v>
      </c>
    </row>
    <row r="21" spans="2:8" ht="28.5" customHeight="1">
      <c r="B21" s="11" t="s">
        <v>167</v>
      </c>
      <c r="C21" s="18" t="s">
        <v>29</v>
      </c>
      <c r="D21" s="25" t="s">
        <v>152</v>
      </c>
      <c r="E21" s="18" t="s">
        <v>29</v>
      </c>
      <c r="F21" s="25" t="s">
        <v>152</v>
      </c>
      <c r="G21" s="18" t="s">
        <v>29</v>
      </c>
      <c r="H21" s="25" t="s">
        <v>152</v>
      </c>
    </row>
    <row r="22" spans="2:8" ht="28.5" customHeight="1">
      <c r="B22" s="11" t="s">
        <v>40</v>
      </c>
      <c r="C22" s="18" t="s">
        <v>29</v>
      </c>
      <c r="D22" s="25" t="s">
        <v>152</v>
      </c>
      <c r="E22" s="18" t="s">
        <v>29</v>
      </c>
      <c r="F22" s="25" t="s">
        <v>152</v>
      </c>
      <c r="G22" s="18" t="s">
        <v>29</v>
      </c>
      <c r="H22" s="25" t="s">
        <v>152</v>
      </c>
    </row>
    <row r="23" spans="2:8" ht="31.5" customHeight="1">
      <c r="B23" s="11" t="s">
        <v>112</v>
      </c>
      <c r="C23" s="18" t="s">
        <v>29</v>
      </c>
      <c r="D23" s="25" t="s">
        <v>152</v>
      </c>
      <c r="E23" s="18" t="s">
        <v>29</v>
      </c>
      <c r="F23" s="25" t="s">
        <v>152</v>
      </c>
      <c r="G23" s="18" t="s">
        <v>29</v>
      </c>
      <c r="H23" s="25" t="s">
        <v>152</v>
      </c>
    </row>
    <row r="24" spans="2:8" ht="40.5">
      <c r="B24" s="12" t="s">
        <v>88</v>
      </c>
      <c r="C24" s="18" t="s">
        <v>29</v>
      </c>
      <c r="D24" s="25" t="s">
        <v>152</v>
      </c>
      <c r="E24" s="18" t="s">
        <v>29</v>
      </c>
      <c r="F24" s="25" t="s">
        <v>152</v>
      </c>
      <c r="G24" s="18" t="s">
        <v>29</v>
      </c>
      <c r="H24" s="25" t="s">
        <v>152</v>
      </c>
    </row>
    <row r="25" spans="2:8" ht="5.25" customHeight="1">
      <c r="B25" s="15"/>
      <c r="C25" s="21"/>
      <c r="D25" s="21"/>
      <c r="E25" s="21"/>
      <c r="F25" s="21"/>
      <c r="G25" s="21"/>
      <c r="H25" s="21"/>
    </row>
    <row r="26" spans="2:8">
      <c r="B26" s="16" t="s">
        <v>171</v>
      </c>
    </row>
    <row r="27" spans="2:8">
      <c r="B27" t="s">
        <v>4</v>
      </c>
    </row>
  </sheetData>
  <mergeCells count="16">
    <mergeCell ref="C5:E5"/>
    <mergeCell ref="F5:H5"/>
    <mergeCell ref="C6:E6"/>
    <mergeCell ref="F6:H6"/>
    <mergeCell ref="C7:E7"/>
    <mergeCell ref="F7:H7"/>
    <mergeCell ref="C8:E8"/>
    <mergeCell ref="F8:H8"/>
    <mergeCell ref="C9:E9"/>
    <mergeCell ref="F9:H9"/>
    <mergeCell ref="C10:E10"/>
    <mergeCell ref="F10:H10"/>
    <mergeCell ref="C15:D15"/>
    <mergeCell ref="E15:F15"/>
    <mergeCell ref="G15:H15"/>
    <mergeCell ref="B15:B16"/>
  </mergeCells>
  <phoneticPr fontId="1"/>
  <pageMargins left="0.7" right="0.7" top="0.75" bottom="0.75" header="0.3" footer="0.3"/>
  <pageSetup paperSize="9" scale="91"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O41"/>
  <sheetViews>
    <sheetView view="pageBreakPreview" zoomScale="60" workbookViewId="0">
      <selection activeCell="A46" sqref="A46"/>
    </sheetView>
  </sheetViews>
  <sheetFormatPr defaultRowHeight="13.5"/>
  <cols>
    <col min="1" max="14" width="14.125" customWidth="1"/>
    <col min="15" max="15" width="12.75" customWidth="1"/>
  </cols>
  <sheetData>
    <row r="1" spans="1:15" ht="29.25" customHeight="1">
      <c r="A1" s="32" t="s">
        <v>241</v>
      </c>
    </row>
    <row r="2" spans="1:15" ht="29.25" customHeight="1">
      <c r="A2" t="s">
        <v>74</v>
      </c>
    </row>
    <row r="3" spans="1:15" ht="29.25" customHeight="1">
      <c r="A3" t="s">
        <v>127</v>
      </c>
      <c r="G3" s="96"/>
    </row>
    <row r="4" spans="1:15" ht="10.5" customHeight="1"/>
    <row r="5" spans="1:15" ht="44.25" customHeight="1">
      <c r="A5" s="33" t="s">
        <v>242</v>
      </c>
      <c r="B5" s="33"/>
      <c r="C5" s="56" t="s">
        <v>15</v>
      </c>
      <c r="D5" s="66"/>
      <c r="E5" s="77" t="s">
        <v>243</v>
      </c>
      <c r="F5" s="89"/>
      <c r="G5" s="89"/>
      <c r="H5" s="89"/>
      <c r="I5" s="89"/>
      <c r="J5" s="89"/>
      <c r="K5" s="89"/>
      <c r="L5" s="89"/>
      <c r="M5" s="89"/>
      <c r="N5" s="105"/>
      <c r="O5" s="112"/>
    </row>
    <row r="6" spans="1:15" ht="44.25" customHeight="1">
      <c r="A6" s="34" t="s">
        <v>200</v>
      </c>
      <c r="B6" s="43" t="s">
        <v>244</v>
      </c>
      <c r="C6" s="57" t="s">
        <v>46</v>
      </c>
      <c r="D6" s="67" t="s">
        <v>20</v>
      </c>
      <c r="E6" s="78" t="s">
        <v>86</v>
      </c>
      <c r="F6" s="43" t="s">
        <v>201</v>
      </c>
      <c r="G6" s="43" t="s">
        <v>203</v>
      </c>
      <c r="H6" s="43" t="s">
        <v>116</v>
      </c>
      <c r="I6" s="43" t="s">
        <v>96</v>
      </c>
      <c r="J6" s="43" t="s">
        <v>204</v>
      </c>
      <c r="K6" s="43" t="s">
        <v>206</v>
      </c>
      <c r="L6" s="43" t="s">
        <v>27</v>
      </c>
      <c r="M6" s="43" t="s">
        <v>43</v>
      </c>
      <c r="N6" s="106" t="s">
        <v>208</v>
      </c>
    </row>
    <row r="7" spans="1:15" ht="45.75" customHeight="1">
      <c r="A7" s="35"/>
      <c r="B7" s="44"/>
      <c r="C7" s="58"/>
      <c r="D7" s="68"/>
      <c r="E7" s="79"/>
      <c r="F7" s="44"/>
      <c r="G7" s="44"/>
      <c r="H7" s="44"/>
      <c r="I7" s="93"/>
      <c r="J7" s="93"/>
      <c r="K7" s="93"/>
      <c r="L7" s="93"/>
      <c r="M7" s="93"/>
      <c r="N7" s="107"/>
    </row>
    <row r="8" spans="1:15" ht="59.25" customHeight="1">
      <c r="A8" s="35"/>
      <c r="B8" s="44"/>
      <c r="C8" s="59"/>
      <c r="D8" s="68"/>
      <c r="E8" s="80"/>
      <c r="F8" s="44"/>
      <c r="G8" s="44"/>
      <c r="H8" s="44"/>
      <c r="I8" s="93"/>
      <c r="J8" s="93"/>
      <c r="K8" s="93"/>
      <c r="L8" s="93"/>
      <c r="M8" s="93"/>
      <c r="N8" s="107"/>
    </row>
    <row r="9" spans="1:15" ht="30.75" customHeight="1">
      <c r="A9" s="36"/>
      <c r="B9" s="45"/>
      <c r="C9" s="58"/>
      <c r="D9" s="68"/>
      <c r="E9" s="79"/>
      <c r="F9" s="45"/>
      <c r="G9" s="45"/>
      <c r="H9" s="93"/>
      <c r="I9" s="93"/>
      <c r="J9" s="98"/>
      <c r="K9" s="93"/>
      <c r="L9" s="93"/>
      <c r="M9" s="93"/>
      <c r="N9" s="107"/>
    </row>
    <row r="10" spans="1:15" ht="27" customHeight="1">
      <c r="A10" s="36"/>
      <c r="B10" s="46"/>
      <c r="C10" s="60"/>
      <c r="D10" s="68"/>
      <c r="E10" s="81"/>
      <c r="F10" s="46"/>
      <c r="G10" s="46"/>
      <c r="H10" s="93"/>
      <c r="I10" s="93"/>
      <c r="J10" s="98"/>
      <c r="K10" s="93"/>
      <c r="L10" s="93"/>
      <c r="M10" s="93"/>
      <c r="N10" s="107"/>
    </row>
    <row r="11" spans="1:15" ht="27.75" customHeight="1">
      <c r="A11" s="36"/>
      <c r="B11" s="46"/>
      <c r="C11" s="60"/>
      <c r="D11" s="68"/>
      <c r="E11" s="81"/>
      <c r="F11" s="46"/>
      <c r="G11" s="46"/>
      <c r="H11" s="93"/>
      <c r="I11" s="93"/>
      <c r="J11" s="98"/>
      <c r="K11" s="93"/>
      <c r="L11" s="93"/>
      <c r="M11" s="93"/>
      <c r="N11" s="107"/>
    </row>
    <row r="12" spans="1:15" ht="27.75" customHeight="1">
      <c r="A12" s="36"/>
      <c r="B12" s="47"/>
      <c r="C12" s="59"/>
      <c r="D12" s="69"/>
      <c r="E12" s="80"/>
      <c r="F12" s="47"/>
      <c r="G12" s="47"/>
      <c r="H12" s="93"/>
      <c r="I12" s="93"/>
      <c r="J12" s="98"/>
      <c r="K12" s="93"/>
      <c r="L12" s="93"/>
      <c r="M12" s="93"/>
      <c r="N12" s="107"/>
    </row>
    <row r="13" spans="1:15" ht="45.75" customHeight="1">
      <c r="A13" s="37"/>
      <c r="B13" s="48"/>
      <c r="C13" s="58"/>
      <c r="D13" s="70"/>
      <c r="E13" s="82"/>
      <c r="F13" s="90"/>
      <c r="G13" s="44"/>
      <c r="H13" s="45"/>
      <c r="I13" s="93"/>
      <c r="J13" s="93"/>
      <c r="K13" s="45"/>
      <c r="L13" s="93"/>
      <c r="M13" s="44"/>
      <c r="N13" s="107"/>
    </row>
    <row r="14" spans="1:15" ht="48.75" customHeight="1">
      <c r="A14" s="37"/>
      <c r="B14" s="49"/>
      <c r="C14" s="59"/>
      <c r="D14" s="71"/>
      <c r="E14" s="83"/>
      <c r="F14" s="91"/>
      <c r="G14" s="44"/>
      <c r="H14" s="47"/>
      <c r="I14" s="93"/>
      <c r="J14" s="93"/>
      <c r="K14" s="47"/>
      <c r="L14" s="93"/>
      <c r="M14" s="44"/>
      <c r="N14" s="107"/>
    </row>
    <row r="15" spans="1:15" ht="96" customHeight="1">
      <c r="A15" s="38"/>
      <c r="B15" s="50"/>
      <c r="C15" s="61"/>
      <c r="D15" s="72"/>
      <c r="E15" s="84"/>
      <c r="F15" s="84"/>
      <c r="G15" s="44"/>
      <c r="H15" s="44"/>
      <c r="I15" s="93"/>
      <c r="J15" s="93"/>
      <c r="K15" s="44"/>
      <c r="L15" s="93"/>
      <c r="M15" s="93"/>
      <c r="N15" s="107"/>
    </row>
    <row r="16" spans="1:15" ht="96" customHeight="1">
      <c r="A16" s="38"/>
      <c r="B16" s="44"/>
      <c r="C16" s="61"/>
      <c r="D16" s="73"/>
      <c r="E16" s="85"/>
      <c r="F16" s="92"/>
      <c r="G16" s="97"/>
      <c r="H16" s="44"/>
      <c r="I16" s="93"/>
      <c r="J16" s="93"/>
      <c r="L16" s="93"/>
      <c r="M16" s="93"/>
      <c r="N16" s="107"/>
    </row>
    <row r="17" spans="1:14" ht="96" customHeight="1">
      <c r="A17" s="35"/>
      <c r="B17" s="51"/>
      <c r="C17" s="62"/>
      <c r="D17" s="74"/>
      <c r="E17" s="86"/>
      <c r="F17" s="93"/>
      <c r="G17" s="51"/>
      <c r="H17" s="44"/>
      <c r="I17" s="93"/>
      <c r="J17" s="93"/>
      <c r="K17" s="93"/>
      <c r="L17" s="93"/>
      <c r="M17" s="93"/>
      <c r="N17" s="107"/>
    </row>
    <row r="18" spans="1:14" ht="96" customHeight="1">
      <c r="A18" s="35"/>
      <c r="B18" s="51"/>
      <c r="C18" s="62"/>
      <c r="D18" s="74"/>
      <c r="E18" s="86"/>
      <c r="F18" s="51"/>
      <c r="G18" s="51"/>
      <c r="H18" s="44"/>
      <c r="I18" s="93"/>
      <c r="J18" s="93"/>
      <c r="K18" s="99" t="s">
        <v>57</v>
      </c>
      <c r="L18" s="102"/>
      <c r="M18" s="102"/>
      <c r="N18" s="108"/>
    </row>
    <row r="19" spans="1:14" ht="55.5" customHeight="1">
      <c r="A19" s="35"/>
      <c r="B19" s="44"/>
      <c r="C19" s="58"/>
      <c r="D19" s="70"/>
      <c r="E19" s="79"/>
      <c r="F19" s="93"/>
      <c r="G19" s="44"/>
      <c r="H19" s="44"/>
      <c r="I19" s="93"/>
      <c r="J19" s="93"/>
      <c r="K19" s="100"/>
      <c r="L19" s="103"/>
      <c r="M19" s="103"/>
      <c r="N19" s="109"/>
    </row>
    <row r="20" spans="1:14" ht="55.5" customHeight="1">
      <c r="A20" s="39"/>
      <c r="B20" s="52"/>
      <c r="C20" s="63"/>
      <c r="D20" s="75"/>
      <c r="E20" s="87"/>
      <c r="F20" s="94"/>
      <c r="G20" s="52"/>
      <c r="H20" s="52"/>
      <c r="I20" s="94"/>
      <c r="J20" s="94"/>
      <c r="K20" s="101"/>
      <c r="L20" s="104"/>
      <c r="M20" s="104"/>
      <c r="N20" s="110"/>
    </row>
    <row r="21" spans="1:14" ht="123" customHeight="1">
      <c r="A21" s="40"/>
      <c r="B21" s="53"/>
      <c r="C21" s="64"/>
      <c r="D21" s="76"/>
      <c r="E21" s="88"/>
      <c r="F21" s="95"/>
      <c r="G21" s="95"/>
      <c r="H21" s="95"/>
      <c r="I21" s="95"/>
      <c r="J21" s="95"/>
      <c r="K21" s="95"/>
      <c r="L21" s="95"/>
      <c r="M21" s="95"/>
      <c r="N21" s="111"/>
    </row>
    <row r="22" spans="1:14" ht="14.25">
      <c r="B22" s="54"/>
      <c r="C22" s="54"/>
    </row>
    <row r="23" spans="1:14">
      <c r="C23" s="65"/>
    </row>
    <row r="40" spans="1:11">
      <c r="A40" s="41"/>
      <c r="B40" s="41"/>
      <c r="C40" s="41"/>
      <c r="D40" s="41"/>
      <c r="E40" s="41"/>
      <c r="F40" s="41"/>
      <c r="G40" s="41"/>
      <c r="H40" s="41"/>
      <c r="I40" s="41"/>
      <c r="J40" s="41"/>
      <c r="K40" s="41"/>
    </row>
    <row r="41" spans="1:11">
      <c r="A41" s="42"/>
      <c r="B41" s="55"/>
      <c r="C41" s="55"/>
      <c r="D41" s="55"/>
      <c r="E41" s="55"/>
      <c r="F41" s="55"/>
      <c r="G41" s="55"/>
      <c r="H41" s="55"/>
      <c r="I41" s="55"/>
      <c r="J41" s="55"/>
      <c r="K41" s="55"/>
    </row>
  </sheetData>
  <mergeCells count="58">
    <mergeCell ref="A5:B5"/>
    <mergeCell ref="C5:D5"/>
    <mergeCell ref="E5:N5"/>
    <mergeCell ref="A40:K40"/>
    <mergeCell ref="A41:K41"/>
    <mergeCell ref="A7:A8"/>
    <mergeCell ref="B7:B8"/>
    <mergeCell ref="C7:C8"/>
    <mergeCell ref="D7:D8"/>
    <mergeCell ref="E7:E8"/>
    <mergeCell ref="F7:F8"/>
    <mergeCell ref="G7:G8"/>
    <mergeCell ref="H7:H8"/>
    <mergeCell ref="I7:I8"/>
    <mergeCell ref="J7:J8"/>
    <mergeCell ref="K7:K8"/>
    <mergeCell ref="L7:L8"/>
    <mergeCell ref="M7:M8"/>
    <mergeCell ref="N7:N8"/>
    <mergeCell ref="A9:A12"/>
    <mergeCell ref="B9:B12"/>
    <mergeCell ref="C9:C12"/>
    <mergeCell ref="D9:D12"/>
    <mergeCell ref="E9:E12"/>
    <mergeCell ref="F9:F12"/>
    <mergeCell ref="G9:G12"/>
    <mergeCell ref="H9:H12"/>
    <mergeCell ref="I9:I12"/>
    <mergeCell ref="J9:J12"/>
    <mergeCell ref="K9:K12"/>
    <mergeCell ref="L9:L12"/>
    <mergeCell ref="M9:M12"/>
    <mergeCell ref="N9:N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K18:N20"/>
    <mergeCell ref="A19:A20"/>
    <mergeCell ref="B19:B20"/>
    <mergeCell ref="C19:C20"/>
    <mergeCell ref="D19:D20"/>
    <mergeCell ref="E19:E20"/>
    <mergeCell ref="F19:F20"/>
    <mergeCell ref="G19:G20"/>
    <mergeCell ref="H19:H20"/>
    <mergeCell ref="I19:I20"/>
    <mergeCell ref="J19:J20"/>
  </mergeCells>
  <phoneticPr fontId="1"/>
  <pageMargins left="0.7" right="0.7" top="0.75" bottom="0.75" header="0.3" footer="0.3"/>
  <pageSetup paperSize="9" scale="48" fitToWidth="1" fitToHeight="1" orientation="landscape" usePrinterDefaults="1" r:id="rId1"/>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Q22"/>
  <sheetViews>
    <sheetView showGridLines="0" view="pageBreakPreview" zoomScale="60" workbookViewId="0">
      <selection activeCell="A46" sqref="A46"/>
    </sheetView>
  </sheetViews>
  <sheetFormatPr defaultRowHeight="13.5"/>
  <cols>
    <col min="1" max="1" width="1.625" customWidth="1"/>
    <col min="2" max="2" width="17.375" customWidth="1"/>
    <col min="3" max="17" width="13.125" customWidth="1"/>
    <col min="18" max="18" width="1.375" customWidth="1"/>
  </cols>
  <sheetData>
    <row r="1" spans="1:17" ht="14.25">
      <c r="A1" s="113" t="s">
        <v>52</v>
      </c>
    </row>
    <row r="2" spans="1:17">
      <c r="C2" t="s">
        <v>199</v>
      </c>
    </row>
    <row r="3" spans="1:17" ht="6" customHeight="1"/>
    <row r="4" spans="1:17" ht="18" customHeight="1">
      <c r="C4" s="19" t="s">
        <v>125</v>
      </c>
      <c r="D4" s="19"/>
      <c r="E4" s="19"/>
      <c r="F4" s="19"/>
      <c r="G4" s="19"/>
      <c r="H4" s="19"/>
      <c r="I4" s="19"/>
      <c r="J4" s="19"/>
      <c r="K4" s="19"/>
      <c r="L4" s="19"/>
      <c r="M4" s="19"/>
      <c r="N4" s="19"/>
      <c r="O4" s="19"/>
      <c r="P4" s="19"/>
      <c r="Q4" s="19"/>
    </row>
    <row r="5" spans="1:17" ht="18" customHeight="1">
      <c r="C5" s="19" t="s">
        <v>114</v>
      </c>
      <c r="D5" s="19" t="s">
        <v>115</v>
      </c>
      <c r="E5" s="19" t="s">
        <v>66</v>
      </c>
      <c r="F5" s="19" t="s">
        <v>109</v>
      </c>
      <c r="G5" s="19" t="s">
        <v>117</v>
      </c>
      <c r="H5" s="19" t="s">
        <v>118</v>
      </c>
      <c r="I5" s="19" t="s">
        <v>119</v>
      </c>
      <c r="J5" s="19" t="s">
        <v>11</v>
      </c>
      <c r="K5" s="19" t="s">
        <v>120</v>
      </c>
      <c r="L5" s="19" t="s">
        <v>121</v>
      </c>
      <c r="M5" s="19" t="s">
        <v>122</v>
      </c>
      <c r="N5" s="19" t="s">
        <v>0</v>
      </c>
      <c r="O5" s="19" t="s">
        <v>123</v>
      </c>
      <c r="P5" s="19" t="s">
        <v>124</v>
      </c>
      <c r="Q5" s="97"/>
    </row>
    <row r="6" spans="1:17" ht="18" customHeight="1">
      <c r="B6" s="97"/>
      <c r="C6" s="49"/>
      <c r="D6" s="49"/>
      <c r="E6" s="49"/>
      <c r="F6" s="49"/>
      <c r="G6" s="49"/>
      <c r="H6" s="49"/>
      <c r="I6" s="49"/>
      <c r="J6" s="49"/>
      <c r="K6" s="49"/>
      <c r="L6" s="49"/>
      <c r="M6" s="49"/>
      <c r="N6" s="49"/>
      <c r="O6" s="49"/>
      <c r="P6" s="49"/>
      <c r="Q6" s="97"/>
    </row>
    <row r="7" spans="1:17" ht="18" customHeight="1">
      <c r="B7" s="97"/>
      <c r="C7" s="19"/>
      <c r="D7" s="19"/>
      <c r="E7" s="19"/>
      <c r="F7" s="19"/>
      <c r="G7" s="19"/>
      <c r="H7" s="19"/>
      <c r="I7" s="19"/>
      <c r="J7" s="19"/>
      <c r="K7" s="19"/>
      <c r="L7" s="19"/>
      <c r="M7" s="19"/>
      <c r="N7" s="19"/>
      <c r="O7" s="19"/>
      <c r="P7" s="19"/>
      <c r="Q7" s="97"/>
    </row>
    <row r="8" spans="1:17" ht="18" customHeight="1">
      <c r="B8" s="97"/>
      <c r="C8" s="19"/>
      <c r="D8" s="19"/>
      <c r="E8" s="19"/>
      <c r="F8" s="19"/>
      <c r="G8" s="19"/>
      <c r="H8" s="19"/>
      <c r="I8" s="19"/>
      <c r="J8" s="19"/>
      <c r="K8" s="19"/>
      <c r="L8" s="19"/>
      <c r="M8" s="19"/>
      <c r="N8" s="19"/>
      <c r="O8" s="19"/>
      <c r="P8" s="19"/>
      <c r="Q8" s="97"/>
    </row>
    <row r="9" spans="1:17" ht="18" customHeight="1">
      <c r="B9" s="97"/>
      <c r="C9" s="19"/>
      <c r="D9" s="19"/>
      <c r="E9" s="19"/>
      <c r="F9" s="19"/>
      <c r="G9" s="19"/>
      <c r="H9" s="19"/>
      <c r="I9" s="19"/>
      <c r="J9" s="19"/>
      <c r="K9" s="19"/>
      <c r="L9" s="19"/>
      <c r="M9" s="19"/>
      <c r="N9" s="19"/>
      <c r="O9" s="19"/>
      <c r="P9" s="19"/>
      <c r="Q9" s="97"/>
    </row>
    <row r="10" spans="1:17" ht="18" customHeight="1">
      <c r="B10" s="97"/>
      <c r="C10" s="19"/>
      <c r="D10" s="19"/>
      <c r="E10" s="19"/>
      <c r="F10" s="19"/>
      <c r="G10" s="19"/>
      <c r="H10" s="19"/>
      <c r="I10" s="19"/>
      <c r="J10" s="19"/>
      <c r="K10" s="19"/>
      <c r="L10" s="19"/>
      <c r="M10" s="19"/>
      <c r="N10" s="19"/>
      <c r="O10" s="19"/>
      <c r="P10" s="19"/>
      <c r="Q10" s="97"/>
    </row>
    <row r="11" spans="1:17" ht="18" customHeight="1">
      <c r="B11" s="97"/>
      <c r="C11" s="19"/>
      <c r="D11" s="19"/>
      <c r="E11" s="19"/>
      <c r="F11" s="19"/>
      <c r="G11" s="19"/>
      <c r="H11" s="19"/>
      <c r="I11" s="19"/>
      <c r="J11" s="19"/>
      <c r="K11" s="19"/>
      <c r="L11" s="19"/>
      <c r="M11" s="19"/>
      <c r="N11" s="19"/>
      <c r="O11" s="19"/>
      <c r="P11" s="19"/>
      <c r="Q11" s="97"/>
    </row>
    <row r="12" spans="1:17" ht="18" customHeight="1">
      <c r="B12" s="97"/>
      <c r="C12" s="19"/>
      <c r="D12" s="19"/>
      <c r="E12" s="19"/>
      <c r="F12" s="19"/>
      <c r="G12" s="19"/>
      <c r="H12" s="19"/>
      <c r="I12" s="19"/>
      <c r="J12" s="19"/>
      <c r="K12" s="19"/>
      <c r="L12" s="19"/>
      <c r="M12" s="19"/>
      <c r="N12" s="19"/>
      <c r="O12" s="19"/>
      <c r="P12" s="19"/>
      <c r="Q12" s="97"/>
    </row>
    <row r="13" spans="1:17" ht="18" customHeight="1">
      <c r="B13" s="97"/>
      <c r="C13" s="19"/>
      <c r="D13" s="19"/>
      <c r="E13" s="19"/>
      <c r="F13" s="19"/>
      <c r="G13" s="19"/>
      <c r="H13" s="19"/>
      <c r="I13" s="19"/>
      <c r="J13" s="19"/>
      <c r="K13" s="19"/>
      <c r="L13" s="19"/>
      <c r="M13" s="19"/>
      <c r="N13" s="19"/>
      <c r="O13" s="19"/>
      <c r="P13" s="19"/>
      <c r="Q13" s="97"/>
    </row>
    <row r="14" spans="1:17" ht="18" customHeight="1">
      <c r="B14" s="97"/>
      <c r="C14" s="19"/>
      <c r="D14" s="19"/>
      <c r="E14" s="19"/>
      <c r="F14" s="19"/>
      <c r="G14" s="19"/>
      <c r="H14" s="19"/>
      <c r="I14" s="19"/>
      <c r="J14" s="19"/>
      <c r="K14" s="19"/>
      <c r="L14" s="19"/>
      <c r="M14" s="19"/>
      <c r="N14" s="19"/>
      <c r="O14" s="19"/>
      <c r="P14" s="19"/>
      <c r="Q14" s="97"/>
    </row>
    <row r="15" spans="1:17" ht="18" customHeight="1">
      <c r="B15" s="97"/>
      <c r="C15" s="19"/>
      <c r="D15" s="19"/>
      <c r="E15" s="19"/>
      <c r="F15" s="19"/>
      <c r="G15" s="19"/>
      <c r="H15" s="19"/>
      <c r="I15" s="19"/>
      <c r="J15" s="19"/>
      <c r="K15" s="19"/>
      <c r="L15" s="19"/>
      <c r="M15" s="19"/>
      <c r="N15" s="19"/>
      <c r="O15" s="19"/>
      <c r="P15" s="19"/>
      <c r="Q15" s="97"/>
    </row>
    <row r="16" spans="1:17" ht="18" customHeight="1">
      <c r="B16" s="97"/>
      <c r="C16" s="19"/>
      <c r="D16" s="19"/>
      <c r="E16" s="19"/>
      <c r="F16" s="19"/>
      <c r="G16" s="19"/>
      <c r="H16" s="19"/>
      <c r="I16" s="19"/>
      <c r="J16" s="19"/>
      <c r="K16" s="19"/>
      <c r="L16" s="19"/>
      <c r="M16" s="19"/>
      <c r="N16" s="19"/>
      <c r="O16" s="19"/>
      <c r="P16" s="19"/>
      <c r="Q16" s="97"/>
    </row>
    <row r="17" spans="2:17" ht="18" customHeight="1">
      <c r="B17" s="97"/>
      <c r="C17" s="19"/>
      <c r="D17" s="19"/>
      <c r="E17" s="19"/>
      <c r="F17" s="19"/>
      <c r="G17" s="19"/>
      <c r="H17" s="19"/>
      <c r="I17" s="19"/>
      <c r="J17" s="19"/>
      <c r="K17" s="19"/>
      <c r="L17" s="19"/>
      <c r="M17" s="19"/>
      <c r="N17" s="19"/>
      <c r="O17" s="19"/>
      <c r="P17" s="19"/>
      <c r="Q17" s="97"/>
    </row>
    <row r="18" spans="2:17" ht="18" customHeight="1">
      <c r="B18" s="97"/>
      <c r="C18" s="19"/>
      <c r="D18" s="19"/>
      <c r="E18" s="19"/>
      <c r="F18" s="19"/>
      <c r="G18" s="19"/>
      <c r="H18" s="19"/>
      <c r="I18" s="19"/>
      <c r="J18" s="19"/>
      <c r="K18" s="19"/>
      <c r="L18" s="19"/>
      <c r="M18" s="19"/>
      <c r="N18" s="19"/>
      <c r="O18" s="19"/>
      <c r="P18" s="19"/>
      <c r="Q18" s="97"/>
    </row>
    <row r="19" spans="2:17" ht="18" customHeight="1">
      <c r="B19" s="97"/>
      <c r="C19" s="19"/>
      <c r="D19" s="19"/>
      <c r="E19" s="19"/>
      <c r="F19" s="19"/>
      <c r="G19" s="19"/>
      <c r="H19" s="19"/>
      <c r="I19" s="19"/>
      <c r="J19" s="19"/>
      <c r="K19" s="19"/>
      <c r="L19" s="19"/>
      <c r="M19" s="19"/>
      <c r="N19" s="19"/>
      <c r="O19" s="19"/>
      <c r="P19" s="19"/>
      <c r="Q19" s="97"/>
    </row>
    <row r="20" spans="2:17" ht="18" customHeight="1">
      <c r="B20" s="97"/>
      <c r="C20" s="19"/>
      <c r="D20" s="19"/>
      <c r="E20" s="19"/>
      <c r="F20" s="19"/>
      <c r="G20" s="19"/>
      <c r="H20" s="19"/>
      <c r="I20" s="19"/>
      <c r="J20" s="19"/>
      <c r="K20" s="19"/>
      <c r="L20" s="19"/>
      <c r="M20" s="19"/>
      <c r="N20" s="19"/>
      <c r="O20" s="19"/>
      <c r="P20" s="19"/>
      <c r="Q20" s="97"/>
    </row>
    <row r="21" spans="2:17" ht="18" customHeight="1">
      <c r="B21" s="97"/>
      <c r="C21" s="19"/>
      <c r="D21" s="19"/>
      <c r="E21" s="19"/>
      <c r="F21" s="19"/>
      <c r="G21" s="19"/>
      <c r="H21" s="19"/>
      <c r="I21" s="19"/>
      <c r="J21" s="19"/>
      <c r="K21" s="19"/>
      <c r="L21" s="19"/>
      <c r="M21" s="19"/>
      <c r="N21" s="19"/>
      <c r="O21" s="19"/>
      <c r="P21" s="19"/>
      <c r="Q21" s="97"/>
    </row>
    <row r="22" spans="2:17" ht="16.5" customHeight="1">
      <c r="B22" s="97"/>
      <c r="C22" s="19"/>
      <c r="D22" s="19"/>
      <c r="E22" s="19"/>
      <c r="F22" s="19"/>
      <c r="G22" s="19"/>
      <c r="H22" s="19"/>
      <c r="I22" s="19"/>
      <c r="J22" s="19"/>
      <c r="K22" s="19"/>
      <c r="L22" s="19"/>
      <c r="M22" s="19"/>
      <c r="N22" s="19"/>
      <c r="O22" s="19"/>
      <c r="P22" s="19"/>
      <c r="Q22" s="97"/>
    </row>
    <row r="23" spans="2:17" ht="6" customHeight="1"/>
  </sheetData>
  <mergeCells count="1">
    <mergeCell ref="C4:Q4"/>
  </mergeCells>
  <phoneticPr fontId="1"/>
  <pageMargins left="0.7" right="0.7" top="0.75" bottom="0.75" header="0.3" footer="0.3"/>
  <pageSetup paperSize="9" scale="66" fitToWidth="1" fitToHeight="1" orientation="landscape" usePrinterDefaults="1"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H52"/>
  <sheetViews>
    <sheetView view="pageBreakPreview" zoomScale="60" workbookViewId="0">
      <selection activeCell="A46" sqref="A46"/>
    </sheetView>
  </sheetViews>
  <sheetFormatPr defaultRowHeight="13.5"/>
  <sheetData>
    <row r="1" spans="1:8" ht="14.25">
      <c r="A1" s="54" t="s">
        <v>110</v>
      </c>
      <c r="H1" t="s">
        <v>12</v>
      </c>
    </row>
    <row r="4" spans="1:8">
      <c r="A4" s="114"/>
    </row>
    <row r="5" spans="1:8">
      <c r="A5" s="115"/>
    </row>
    <row r="6" spans="1:8">
      <c r="A6" s="116"/>
    </row>
    <row r="7" spans="1:8">
      <c r="A7" s="117"/>
    </row>
    <row r="8" spans="1:8">
      <c r="A8" s="117"/>
    </row>
    <row r="9" spans="1:8">
      <c r="A9" s="117"/>
    </row>
    <row r="10" spans="1:8">
      <c r="A10" s="117"/>
    </row>
    <row r="11" spans="1:8">
      <c r="A11" s="117"/>
    </row>
    <row r="12" spans="1:8">
      <c r="A12" s="117"/>
    </row>
    <row r="13" spans="1:8">
      <c r="A13" s="118"/>
    </row>
    <row r="15" spans="1:8">
      <c r="A15" s="114"/>
    </row>
    <row r="16" spans="1:8">
      <c r="A16" s="114"/>
    </row>
    <row r="17" spans="1:1">
      <c r="A17" s="117"/>
    </row>
    <row r="18" spans="1:1">
      <c r="A18" s="117"/>
    </row>
    <row r="19" spans="1:1">
      <c r="A19" s="117"/>
    </row>
    <row r="20" spans="1:1">
      <c r="A20" s="117"/>
    </row>
    <row r="21" spans="1:1">
      <c r="A21" s="117"/>
    </row>
    <row r="22" spans="1:1">
      <c r="A22" s="117"/>
    </row>
    <row r="23" spans="1:1">
      <c r="A23" s="117"/>
    </row>
    <row r="24" spans="1:1">
      <c r="A24" s="117"/>
    </row>
    <row r="25" spans="1:1">
      <c r="A25" s="119"/>
    </row>
    <row r="26" spans="1:1">
      <c r="A26" s="119"/>
    </row>
    <row r="27" spans="1:1">
      <c r="A27" s="114"/>
    </row>
    <row r="28" spans="1:1">
      <c r="A28" s="114"/>
    </row>
    <row r="29" spans="1:1">
      <c r="A29" s="114"/>
    </row>
    <row r="30" spans="1:1">
      <c r="A30" s="114"/>
    </row>
    <row r="31" spans="1:1">
      <c r="A31" s="114"/>
    </row>
    <row r="32" spans="1:1">
      <c r="A32" s="114"/>
    </row>
    <row r="33" spans="1:1">
      <c r="A33" s="114"/>
    </row>
    <row r="34" spans="1:1">
      <c r="A34" s="114"/>
    </row>
    <row r="35" spans="1:1">
      <c r="A35" s="114"/>
    </row>
    <row r="36" spans="1:1">
      <c r="A36" s="114"/>
    </row>
    <row r="37" spans="1:1">
      <c r="A37" s="114"/>
    </row>
    <row r="38" spans="1:1">
      <c r="A38" s="114"/>
    </row>
    <row r="39" spans="1:1">
      <c r="A39" s="114"/>
    </row>
    <row r="40" spans="1:1">
      <c r="A40" s="114"/>
    </row>
    <row r="41" spans="1:1">
      <c r="A41" s="114"/>
    </row>
    <row r="42" spans="1:1">
      <c r="A42" s="114"/>
    </row>
    <row r="43" spans="1:1">
      <c r="A43" s="114"/>
    </row>
    <row r="44" spans="1:1">
      <c r="A44" s="114"/>
    </row>
    <row r="45" spans="1:1">
      <c r="A45" s="114"/>
    </row>
    <row r="46" spans="1:1">
      <c r="A46" s="114"/>
    </row>
    <row r="47" spans="1:1">
      <c r="A47" s="114"/>
    </row>
    <row r="48" spans="1:1">
      <c r="A48" s="114"/>
    </row>
    <row r="49" spans="1:1">
      <c r="A49" s="119"/>
    </row>
    <row r="52" spans="1:1">
      <c r="A52" t="s">
        <v>128</v>
      </c>
    </row>
  </sheetData>
  <phoneticPr fontId="1"/>
  <pageMargins left="0.7" right="0.7" top="0.75" bottom="0.75" header="0.3" footer="0.3"/>
  <pageSetup paperSize="9" scale="76"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13"/>
  <sheetViews>
    <sheetView view="pageBreakPreview" zoomScale="60" workbookViewId="0">
      <selection activeCell="A46" sqref="A46"/>
    </sheetView>
  </sheetViews>
  <sheetFormatPr defaultRowHeight="13.5"/>
  <cols>
    <col min="5" max="5" width="4.625" customWidth="1"/>
    <col min="9" max="9" width="21.75" customWidth="1"/>
    <col min="261" max="261" width="4.625" customWidth="1"/>
    <col min="265" max="265" width="21.75" customWidth="1"/>
    <col min="517" max="517" width="4.625" customWidth="1"/>
    <col min="521" max="521" width="21.75" customWidth="1"/>
    <col min="773" max="773" width="4.625" customWidth="1"/>
    <col min="777" max="777" width="21.75" customWidth="1"/>
    <col min="1029" max="1029" width="4.625" customWidth="1"/>
    <col min="1033" max="1033" width="21.75" customWidth="1"/>
    <col min="1285" max="1285" width="4.625" customWidth="1"/>
    <col min="1289" max="1289" width="21.75" customWidth="1"/>
    <col min="1541" max="1541" width="4.625" customWidth="1"/>
    <col min="1545" max="1545" width="21.75" customWidth="1"/>
    <col min="1797" max="1797" width="4.625" customWidth="1"/>
    <col min="1801" max="1801" width="21.75" customWidth="1"/>
    <col min="2053" max="2053" width="4.625" customWidth="1"/>
    <col min="2057" max="2057" width="21.75" customWidth="1"/>
    <col min="2309" max="2309" width="4.625" customWidth="1"/>
    <col min="2313" max="2313" width="21.75" customWidth="1"/>
    <col min="2565" max="2565" width="4.625" customWidth="1"/>
    <col min="2569" max="2569" width="21.75" customWidth="1"/>
    <col min="2821" max="2821" width="4.625" customWidth="1"/>
    <col min="2825" max="2825" width="21.75" customWidth="1"/>
    <col min="3077" max="3077" width="4.625" customWidth="1"/>
    <col min="3081" max="3081" width="21.75" customWidth="1"/>
    <col min="3333" max="3333" width="4.625" customWidth="1"/>
    <col min="3337" max="3337" width="21.75" customWidth="1"/>
    <col min="3589" max="3589" width="4.625" customWidth="1"/>
    <col min="3593" max="3593" width="21.75" customWidth="1"/>
    <col min="3845" max="3845" width="4.625" customWidth="1"/>
    <col min="3849" max="3849" width="21.75" customWidth="1"/>
    <col min="4101" max="4101" width="4.625" customWidth="1"/>
    <col min="4105" max="4105" width="21.75" customWidth="1"/>
    <col min="4357" max="4357" width="4.625" customWidth="1"/>
    <col min="4361" max="4361" width="21.75" customWidth="1"/>
    <col min="4613" max="4613" width="4.625" customWidth="1"/>
    <col min="4617" max="4617" width="21.75" customWidth="1"/>
    <col min="4869" max="4869" width="4.625" customWidth="1"/>
    <col min="4873" max="4873" width="21.75" customWidth="1"/>
    <col min="5125" max="5125" width="4.625" customWidth="1"/>
    <col min="5129" max="5129" width="21.75" customWidth="1"/>
    <col min="5381" max="5381" width="4.625" customWidth="1"/>
    <col min="5385" max="5385" width="21.75" customWidth="1"/>
    <col min="5637" max="5637" width="4.625" customWidth="1"/>
    <col min="5641" max="5641" width="21.75" customWidth="1"/>
    <col min="5893" max="5893" width="4.625" customWidth="1"/>
    <col min="5897" max="5897" width="21.75" customWidth="1"/>
    <col min="6149" max="6149" width="4.625" customWidth="1"/>
    <col min="6153" max="6153" width="21.75" customWidth="1"/>
    <col min="6405" max="6405" width="4.625" customWidth="1"/>
    <col min="6409" max="6409" width="21.75" customWidth="1"/>
    <col min="6661" max="6661" width="4.625" customWidth="1"/>
    <col min="6665" max="6665" width="21.75" customWidth="1"/>
    <col min="6917" max="6917" width="4.625" customWidth="1"/>
    <col min="6921" max="6921" width="21.75" customWidth="1"/>
    <col min="7173" max="7173" width="4.625" customWidth="1"/>
    <col min="7177" max="7177" width="21.75" customWidth="1"/>
    <col min="7429" max="7429" width="4.625" customWidth="1"/>
    <col min="7433" max="7433" width="21.75" customWidth="1"/>
    <col min="7685" max="7685" width="4.625" customWidth="1"/>
    <col min="7689" max="7689" width="21.75" customWidth="1"/>
    <col min="7941" max="7941" width="4.625" customWidth="1"/>
    <col min="7945" max="7945" width="21.75" customWidth="1"/>
    <col min="8197" max="8197" width="4.625" customWidth="1"/>
    <col min="8201" max="8201" width="21.75" customWidth="1"/>
    <col min="8453" max="8453" width="4.625" customWidth="1"/>
    <col min="8457" max="8457" width="21.75" customWidth="1"/>
    <col min="8709" max="8709" width="4.625" customWidth="1"/>
    <col min="8713" max="8713" width="21.75" customWidth="1"/>
    <col min="8965" max="8965" width="4.625" customWidth="1"/>
    <col min="8969" max="8969" width="21.75" customWidth="1"/>
    <col min="9221" max="9221" width="4.625" customWidth="1"/>
    <col min="9225" max="9225" width="21.75" customWidth="1"/>
    <col min="9477" max="9477" width="4.625" customWidth="1"/>
    <col min="9481" max="9481" width="21.75" customWidth="1"/>
    <col min="9733" max="9733" width="4.625" customWidth="1"/>
    <col min="9737" max="9737" width="21.75" customWidth="1"/>
    <col min="9989" max="9989" width="4.625" customWidth="1"/>
    <col min="9993" max="9993" width="21.75" customWidth="1"/>
    <col min="10245" max="10245" width="4.625" customWidth="1"/>
    <col min="10249" max="10249" width="21.75" customWidth="1"/>
    <col min="10501" max="10501" width="4.625" customWidth="1"/>
    <col min="10505" max="10505" width="21.75" customWidth="1"/>
    <col min="10757" max="10757" width="4.625" customWidth="1"/>
    <col min="10761" max="10761" width="21.75" customWidth="1"/>
    <col min="11013" max="11013" width="4.625" customWidth="1"/>
    <col min="11017" max="11017" width="21.75" customWidth="1"/>
    <col min="11269" max="11269" width="4.625" customWidth="1"/>
    <col min="11273" max="11273" width="21.75" customWidth="1"/>
    <col min="11525" max="11525" width="4.625" customWidth="1"/>
    <col min="11529" max="11529" width="21.75" customWidth="1"/>
    <col min="11781" max="11781" width="4.625" customWidth="1"/>
    <col min="11785" max="11785" width="21.75" customWidth="1"/>
    <col min="12037" max="12037" width="4.625" customWidth="1"/>
    <col min="12041" max="12041" width="21.75" customWidth="1"/>
    <col min="12293" max="12293" width="4.625" customWidth="1"/>
    <col min="12297" max="12297" width="21.75" customWidth="1"/>
    <col min="12549" max="12549" width="4.625" customWidth="1"/>
    <col min="12553" max="12553" width="21.75" customWidth="1"/>
    <col min="12805" max="12805" width="4.625" customWidth="1"/>
    <col min="12809" max="12809" width="21.75" customWidth="1"/>
    <col min="13061" max="13061" width="4.625" customWidth="1"/>
    <col min="13065" max="13065" width="21.75" customWidth="1"/>
    <col min="13317" max="13317" width="4.625" customWidth="1"/>
    <col min="13321" max="13321" width="21.75" customWidth="1"/>
    <col min="13573" max="13573" width="4.625" customWidth="1"/>
    <col min="13577" max="13577" width="21.75" customWidth="1"/>
    <col min="13829" max="13829" width="4.625" customWidth="1"/>
    <col min="13833" max="13833" width="21.75" customWidth="1"/>
    <col min="14085" max="14085" width="4.625" customWidth="1"/>
    <col min="14089" max="14089" width="21.75" customWidth="1"/>
    <col min="14341" max="14341" width="4.625" customWidth="1"/>
    <col min="14345" max="14345" width="21.75" customWidth="1"/>
    <col min="14597" max="14597" width="4.625" customWidth="1"/>
    <col min="14601" max="14601" width="21.75" customWidth="1"/>
    <col min="14853" max="14853" width="4.625" customWidth="1"/>
    <col min="14857" max="14857" width="21.75" customWidth="1"/>
    <col min="15109" max="15109" width="4.625" customWidth="1"/>
    <col min="15113" max="15113" width="21.75" customWidth="1"/>
    <col min="15365" max="15365" width="4.625" customWidth="1"/>
    <col min="15369" max="15369" width="21.75" customWidth="1"/>
    <col min="15621" max="15621" width="4.625" customWidth="1"/>
    <col min="15625" max="15625" width="21.75" customWidth="1"/>
    <col min="15877" max="15877" width="4.625" customWidth="1"/>
    <col min="15881" max="15881" width="21.75" customWidth="1"/>
    <col min="16133" max="16133" width="4.625" customWidth="1"/>
    <col min="16137" max="16137" width="21.75" customWidth="1"/>
  </cols>
  <sheetData>
    <row r="1" spans="1:9">
      <c r="A1" t="s">
        <v>98</v>
      </c>
      <c r="I1" s="21" t="s">
        <v>145</v>
      </c>
    </row>
    <row r="3" spans="1:9" ht="30.75" customHeight="1">
      <c r="A3" s="11" t="s">
        <v>236</v>
      </c>
      <c r="B3" s="11"/>
      <c r="C3" s="11"/>
      <c r="D3" s="11"/>
      <c r="E3" s="11"/>
      <c r="F3" s="11"/>
      <c r="G3" s="11"/>
      <c r="H3" s="11"/>
      <c r="I3" s="11"/>
    </row>
    <row r="4" spans="1:9" ht="30.75" customHeight="1">
      <c r="A4" s="120" t="s">
        <v>166</v>
      </c>
      <c r="B4" s="120"/>
      <c r="C4" s="120"/>
      <c r="D4" s="120"/>
      <c r="E4" s="120"/>
      <c r="F4" s="7" t="s">
        <v>49</v>
      </c>
      <c r="G4" s="7"/>
      <c r="H4" s="7"/>
      <c r="I4" s="7"/>
    </row>
    <row r="5" spans="1:9" ht="30.75" customHeight="1">
      <c r="A5" s="120" t="s">
        <v>54</v>
      </c>
      <c r="B5" s="120"/>
      <c r="C5" s="120"/>
      <c r="D5" s="120"/>
      <c r="E5" s="120"/>
      <c r="F5" s="7" t="s">
        <v>228</v>
      </c>
      <c r="G5" s="7"/>
      <c r="H5" s="7"/>
      <c r="I5" s="7"/>
    </row>
    <row r="6" spans="1:9" ht="30.75" customHeight="1">
      <c r="A6" s="121" t="s">
        <v>42</v>
      </c>
      <c r="B6" s="121"/>
      <c r="C6" s="121"/>
      <c r="D6" s="121"/>
      <c r="E6" s="121"/>
      <c r="F6" s="7" t="s">
        <v>237</v>
      </c>
      <c r="G6" s="7"/>
      <c r="H6" s="7"/>
      <c r="I6" s="7"/>
    </row>
    <row r="7" spans="1:9" ht="30.75" customHeight="1">
      <c r="A7" s="121" t="s">
        <v>238</v>
      </c>
      <c r="B7" s="121"/>
      <c r="C7" s="121"/>
      <c r="D7" s="121"/>
      <c r="E7" s="121"/>
      <c r="F7" s="28" t="s">
        <v>21</v>
      </c>
      <c r="G7" s="29"/>
      <c r="H7" s="29"/>
      <c r="I7" s="31"/>
    </row>
    <row r="8" spans="1:9" ht="30.75" customHeight="1">
      <c r="A8" s="121" t="s">
        <v>239</v>
      </c>
      <c r="B8" s="121"/>
      <c r="C8" s="121"/>
      <c r="D8" s="121"/>
      <c r="E8" s="121"/>
      <c r="F8" s="7" t="s">
        <v>72</v>
      </c>
      <c r="G8" s="7"/>
      <c r="H8" s="7"/>
      <c r="I8" s="7"/>
    </row>
    <row r="9" spans="1:9" ht="30.75" customHeight="1">
      <c r="A9" s="121" t="s">
        <v>240</v>
      </c>
      <c r="B9" s="121"/>
      <c r="C9" s="121"/>
      <c r="D9" s="121"/>
      <c r="E9" s="121"/>
      <c r="F9" s="7" t="s">
        <v>178</v>
      </c>
      <c r="G9" s="7"/>
      <c r="H9" s="7"/>
      <c r="I9" s="7"/>
    </row>
    <row r="10" spans="1:9" ht="30.75" customHeight="1">
      <c r="A10" s="121" t="s">
        <v>205</v>
      </c>
      <c r="B10" s="121"/>
      <c r="C10" s="121"/>
      <c r="D10" s="121"/>
      <c r="E10" s="121"/>
      <c r="F10" s="7" t="s">
        <v>182</v>
      </c>
      <c r="G10" s="7"/>
      <c r="H10" s="7"/>
      <c r="I10" s="7"/>
    </row>
    <row r="11" spans="1:9" ht="30.75" customHeight="1">
      <c r="A11" s="121"/>
      <c r="B11" s="121"/>
      <c r="C11" s="121"/>
      <c r="D11" s="121"/>
      <c r="E11" s="121"/>
      <c r="F11" s="19"/>
      <c r="G11" s="19"/>
      <c r="H11" s="19"/>
      <c r="I11" s="19"/>
    </row>
    <row r="12" spans="1:9">
      <c r="A12" s="122"/>
      <c r="B12" s="122"/>
      <c r="C12" s="122"/>
      <c r="D12" s="122"/>
      <c r="E12" s="122"/>
      <c r="F12" s="124"/>
      <c r="G12" s="124"/>
      <c r="H12" s="124"/>
      <c r="I12" s="124"/>
    </row>
    <row r="13" spans="1:9">
      <c r="A13" s="123" t="s">
        <v>34</v>
      </c>
    </row>
  </sheetData>
  <mergeCells count="19">
    <mergeCell ref="A3:I3"/>
    <mergeCell ref="A4:E4"/>
    <mergeCell ref="F4:I4"/>
    <mergeCell ref="A5:E5"/>
    <mergeCell ref="F5:I5"/>
    <mergeCell ref="A6:E6"/>
    <mergeCell ref="F6:I6"/>
    <mergeCell ref="A7:E7"/>
    <mergeCell ref="F7:I7"/>
    <mergeCell ref="A8:E8"/>
    <mergeCell ref="F8:I8"/>
    <mergeCell ref="A9:E9"/>
    <mergeCell ref="F9:I9"/>
    <mergeCell ref="A10:E10"/>
    <mergeCell ref="F10:I10"/>
    <mergeCell ref="A11:E11"/>
    <mergeCell ref="F11:I11"/>
    <mergeCell ref="A12:E12"/>
    <mergeCell ref="F12:I12"/>
  </mergeCells>
  <phoneticPr fontId="1"/>
  <pageMargins left="0.7" right="0.7" top="0.75" bottom="0.75"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L16"/>
  <sheetViews>
    <sheetView view="pageBreakPreview" zoomScale="60" workbookViewId="0">
      <selection activeCell="A46" sqref="A46"/>
    </sheetView>
  </sheetViews>
  <sheetFormatPr defaultRowHeight="13.5"/>
  <cols>
    <col min="1" max="1" width="12.75" customWidth="1"/>
    <col min="2" max="2" width="11.625" customWidth="1"/>
    <col min="3" max="3" width="35.75" customWidth="1"/>
    <col min="4" max="5" width="13.5" customWidth="1"/>
    <col min="6" max="6" width="22" customWidth="1"/>
    <col min="7" max="7" width="13" customWidth="1"/>
    <col min="8" max="8" width="8" customWidth="1"/>
    <col min="257" max="257" width="12.75" customWidth="1"/>
    <col min="258" max="258" width="11.625" customWidth="1"/>
    <col min="259" max="259" width="35.75" customWidth="1"/>
    <col min="260" max="261" width="13.5" customWidth="1"/>
    <col min="262" max="262" width="22" customWidth="1"/>
    <col min="263" max="263" width="13" customWidth="1"/>
    <col min="264" max="264" width="8" customWidth="1"/>
    <col min="513" max="513" width="12.75" customWidth="1"/>
    <col min="514" max="514" width="11.625" customWidth="1"/>
    <col min="515" max="515" width="35.75" customWidth="1"/>
    <col min="516" max="517" width="13.5" customWidth="1"/>
    <col min="518" max="518" width="22" customWidth="1"/>
    <col min="519" max="519" width="13" customWidth="1"/>
    <col min="520" max="520" width="8" customWidth="1"/>
    <col min="769" max="769" width="12.75" customWidth="1"/>
    <col min="770" max="770" width="11.625" customWidth="1"/>
    <col min="771" max="771" width="35.75" customWidth="1"/>
    <col min="772" max="773" width="13.5" customWidth="1"/>
    <col min="774" max="774" width="22" customWidth="1"/>
    <col min="775" max="775" width="13" customWidth="1"/>
    <col min="776" max="776" width="8" customWidth="1"/>
    <col min="1025" max="1025" width="12.75" customWidth="1"/>
    <col min="1026" max="1026" width="11.625" customWidth="1"/>
    <col min="1027" max="1027" width="35.75" customWidth="1"/>
    <col min="1028" max="1029" width="13.5" customWidth="1"/>
    <col min="1030" max="1030" width="22" customWidth="1"/>
    <col min="1031" max="1031" width="13" customWidth="1"/>
    <col min="1032" max="1032" width="8" customWidth="1"/>
    <col min="1281" max="1281" width="12.75" customWidth="1"/>
    <col min="1282" max="1282" width="11.625" customWidth="1"/>
    <col min="1283" max="1283" width="35.75" customWidth="1"/>
    <col min="1284" max="1285" width="13.5" customWidth="1"/>
    <col min="1286" max="1286" width="22" customWidth="1"/>
    <col min="1287" max="1287" width="13" customWidth="1"/>
    <col min="1288" max="1288" width="8" customWidth="1"/>
    <col min="1537" max="1537" width="12.75" customWidth="1"/>
    <col min="1538" max="1538" width="11.625" customWidth="1"/>
    <col min="1539" max="1539" width="35.75" customWidth="1"/>
    <col min="1540" max="1541" width="13.5" customWidth="1"/>
    <col min="1542" max="1542" width="22" customWidth="1"/>
    <col min="1543" max="1543" width="13" customWidth="1"/>
    <col min="1544" max="1544" width="8" customWidth="1"/>
    <col min="1793" max="1793" width="12.75" customWidth="1"/>
    <col min="1794" max="1794" width="11.625" customWidth="1"/>
    <col min="1795" max="1795" width="35.75" customWidth="1"/>
    <col min="1796" max="1797" width="13.5" customWidth="1"/>
    <col min="1798" max="1798" width="22" customWidth="1"/>
    <col min="1799" max="1799" width="13" customWidth="1"/>
    <col min="1800" max="1800" width="8" customWidth="1"/>
    <col min="2049" max="2049" width="12.75" customWidth="1"/>
    <col min="2050" max="2050" width="11.625" customWidth="1"/>
    <col min="2051" max="2051" width="35.75" customWidth="1"/>
    <col min="2052" max="2053" width="13.5" customWidth="1"/>
    <col min="2054" max="2054" width="22" customWidth="1"/>
    <col min="2055" max="2055" width="13" customWidth="1"/>
    <col min="2056" max="2056" width="8" customWidth="1"/>
    <col min="2305" max="2305" width="12.75" customWidth="1"/>
    <col min="2306" max="2306" width="11.625" customWidth="1"/>
    <col min="2307" max="2307" width="35.75" customWidth="1"/>
    <col min="2308" max="2309" width="13.5" customWidth="1"/>
    <col min="2310" max="2310" width="22" customWidth="1"/>
    <col min="2311" max="2311" width="13" customWidth="1"/>
    <col min="2312" max="2312" width="8" customWidth="1"/>
    <col min="2561" max="2561" width="12.75" customWidth="1"/>
    <col min="2562" max="2562" width="11.625" customWidth="1"/>
    <col min="2563" max="2563" width="35.75" customWidth="1"/>
    <col min="2564" max="2565" width="13.5" customWidth="1"/>
    <col min="2566" max="2566" width="22" customWidth="1"/>
    <col min="2567" max="2567" width="13" customWidth="1"/>
    <col min="2568" max="2568" width="8" customWidth="1"/>
    <col min="2817" max="2817" width="12.75" customWidth="1"/>
    <col min="2818" max="2818" width="11.625" customWidth="1"/>
    <col min="2819" max="2819" width="35.75" customWidth="1"/>
    <col min="2820" max="2821" width="13.5" customWidth="1"/>
    <col min="2822" max="2822" width="22" customWidth="1"/>
    <col min="2823" max="2823" width="13" customWidth="1"/>
    <col min="2824" max="2824" width="8" customWidth="1"/>
    <col min="3073" max="3073" width="12.75" customWidth="1"/>
    <col min="3074" max="3074" width="11.625" customWidth="1"/>
    <col min="3075" max="3075" width="35.75" customWidth="1"/>
    <col min="3076" max="3077" width="13.5" customWidth="1"/>
    <col min="3078" max="3078" width="22" customWidth="1"/>
    <col min="3079" max="3079" width="13" customWidth="1"/>
    <col min="3080" max="3080" width="8" customWidth="1"/>
    <col min="3329" max="3329" width="12.75" customWidth="1"/>
    <col min="3330" max="3330" width="11.625" customWidth="1"/>
    <col min="3331" max="3331" width="35.75" customWidth="1"/>
    <col min="3332" max="3333" width="13.5" customWidth="1"/>
    <col min="3334" max="3334" width="22" customWidth="1"/>
    <col min="3335" max="3335" width="13" customWidth="1"/>
    <col min="3336" max="3336" width="8" customWidth="1"/>
    <col min="3585" max="3585" width="12.75" customWidth="1"/>
    <col min="3586" max="3586" width="11.625" customWidth="1"/>
    <col min="3587" max="3587" width="35.75" customWidth="1"/>
    <col min="3588" max="3589" width="13.5" customWidth="1"/>
    <col min="3590" max="3590" width="22" customWidth="1"/>
    <col min="3591" max="3591" width="13" customWidth="1"/>
    <col min="3592" max="3592" width="8" customWidth="1"/>
    <col min="3841" max="3841" width="12.75" customWidth="1"/>
    <col min="3842" max="3842" width="11.625" customWidth="1"/>
    <col min="3843" max="3843" width="35.75" customWidth="1"/>
    <col min="3844" max="3845" width="13.5" customWidth="1"/>
    <col min="3846" max="3846" width="22" customWidth="1"/>
    <col min="3847" max="3847" width="13" customWidth="1"/>
    <col min="3848" max="3848" width="8" customWidth="1"/>
    <col min="4097" max="4097" width="12.75" customWidth="1"/>
    <col min="4098" max="4098" width="11.625" customWidth="1"/>
    <col min="4099" max="4099" width="35.75" customWidth="1"/>
    <col min="4100" max="4101" width="13.5" customWidth="1"/>
    <col min="4102" max="4102" width="22" customWidth="1"/>
    <col min="4103" max="4103" width="13" customWidth="1"/>
    <col min="4104" max="4104" width="8" customWidth="1"/>
    <col min="4353" max="4353" width="12.75" customWidth="1"/>
    <col min="4354" max="4354" width="11.625" customWidth="1"/>
    <col min="4355" max="4355" width="35.75" customWidth="1"/>
    <col min="4356" max="4357" width="13.5" customWidth="1"/>
    <col min="4358" max="4358" width="22" customWidth="1"/>
    <col min="4359" max="4359" width="13" customWidth="1"/>
    <col min="4360" max="4360" width="8" customWidth="1"/>
    <col min="4609" max="4609" width="12.75" customWidth="1"/>
    <col min="4610" max="4610" width="11.625" customWidth="1"/>
    <col min="4611" max="4611" width="35.75" customWidth="1"/>
    <col min="4612" max="4613" width="13.5" customWidth="1"/>
    <col min="4614" max="4614" width="22" customWidth="1"/>
    <col min="4615" max="4615" width="13" customWidth="1"/>
    <col min="4616" max="4616" width="8" customWidth="1"/>
    <col min="4865" max="4865" width="12.75" customWidth="1"/>
    <col min="4866" max="4866" width="11.625" customWidth="1"/>
    <col min="4867" max="4867" width="35.75" customWidth="1"/>
    <col min="4868" max="4869" width="13.5" customWidth="1"/>
    <col min="4870" max="4870" width="22" customWidth="1"/>
    <col min="4871" max="4871" width="13" customWidth="1"/>
    <col min="4872" max="4872" width="8" customWidth="1"/>
    <col min="5121" max="5121" width="12.75" customWidth="1"/>
    <col min="5122" max="5122" width="11.625" customWidth="1"/>
    <col min="5123" max="5123" width="35.75" customWidth="1"/>
    <col min="5124" max="5125" width="13.5" customWidth="1"/>
    <col min="5126" max="5126" width="22" customWidth="1"/>
    <col min="5127" max="5127" width="13" customWidth="1"/>
    <col min="5128" max="5128" width="8" customWidth="1"/>
    <col min="5377" max="5377" width="12.75" customWidth="1"/>
    <col min="5378" max="5378" width="11.625" customWidth="1"/>
    <col min="5379" max="5379" width="35.75" customWidth="1"/>
    <col min="5380" max="5381" width="13.5" customWidth="1"/>
    <col min="5382" max="5382" width="22" customWidth="1"/>
    <col min="5383" max="5383" width="13" customWidth="1"/>
    <col min="5384" max="5384" width="8" customWidth="1"/>
    <col min="5633" max="5633" width="12.75" customWidth="1"/>
    <col min="5634" max="5634" width="11.625" customWidth="1"/>
    <col min="5635" max="5635" width="35.75" customWidth="1"/>
    <col min="5636" max="5637" width="13.5" customWidth="1"/>
    <col min="5638" max="5638" width="22" customWidth="1"/>
    <col min="5639" max="5639" width="13" customWidth="1"/>
    <col min="5640" max="5640" width="8" customWidth="1"/>
    <col min="5889" max="5889" width="12.75" customWidth="1"/>
    <col min="5890" max="5890" width="11.625" customWidth="1"/>
    <col min="5891" max="5891" width="35.75" customWidth="1"/>
    <col min="5892" max="5893" width="13.5" customWidth="1"/>
    <col min="5894" max="5894" width="22" customWidth="1"/>
    <col min="5895" max="5895" width="13" customWidth="1"/>
    <col min="5896" max="5896" width="8" customWidth="1"/>
    <col min="6145" max="6145" width="12.75" customWidth="1"/>
    <col min="6146" max="6146" width="11.625" customWidth="1"/>
    <col min="6147" max="6147" width="35.75" customWidth="1"/>
    <col min="6148" max="6149" width="13.5" customWidth="1"/>
    <col min="6150" max="6150" width="22" customWidth="1"/>
    <col min="6151" max="6151" width="13" customWidth="1"/>
    <col min="6152" max="6152" width="8" customWidth="1"/>
    <col min="6401" max="6401" width="12.75" customWidth="1"/>
    <col min="6402" max="6402" width="11.625" customWidth="1"/>
    <col min="6403" max="6403" width="35.75" customWidth="1"/>
    <col min="6404" max="6405" width="13.5" customWidth="1"/>
    <col min="6406" max="6406" width="22" customWidth="1"/>
    <col min="6407" max="6407" width="13" customWidth="1"/>
    <col min="6408" max="6408" width="8" customWidth="1"/>
    <col min="6657" max="6657" width="12.75" customWidth="1"/>
    <col min="6658" max="6658" width="11.625" customWidth="1"/>
    <col min="6659" max="6659" width="35.75" customWidth="1"/>
    <col min="6660" max="6661" width="13.5" customWidth="1"/>
    <col min="6662" max="6662" width="22" customWidth="1"/>
    <col min="6663" max="6663" width="13" customWidth="1"/>
    <col min="6664" max="6664" width="8" customWidth="1"/>
    <col min="6913" max="6913" width="12.75" customWidth="1"/>
    <col min="6914" max="6914" width="11.625" customWidth="1"/>
    <col min="6915" max="6915" width="35.75" customWidth="1"/>
    <col min="6916" max="6917" width="13.5" customWidth="1"/>
    <col min="6918" max="6918" width="22" customWidth="1"/>
    <col min="6919" max="6919" width="13" customWidth="1"/>
    <col min="6920" max="6920" width="8" customWidth="1"/>
    <col min="7169" max="7169" width="12.75" customWidth="1"/>
    <col min="7170" max="7170" width="11.625" customWidth="1"/>
    <col min="7171" max="7171" width="35.75" customWidth="1"/>
    <col min="7172" max="7173" width="13.5" customWidth="1"/>
    <col min="7174" max="7174" width="22" customWidth="1"/>
    <col min="7175" max="7175" width="13" customWidth="1"/>
    <col min="7176" max="7176" width="8" customWidth="1"/>
    <col min="7425" max="7425" width="12.75" customWidth="1"/>
    <col min="7426" max="7426" width="11.625" customWidth="1"/>
    <col min="7427" max="7427" width="35.75" customWidth="1"/>
    <col min="7428" max="7429" width="13.5" customWidth="1"/>
    <col min="7430" max="7430" width="22" customWidth="1"/>
    <col min="7431" max="7431" width="13" customWidth="1"/>
    <col min="7432" max="7432" width="8" customWidth="1"/>
    <col min="7681" max="7681" width="12.75" customWidth="1"/>
    <col min="7682" max="7682" width="11.625" customWidth="1"/>
    <col min="7683" max="7683" width="35.75" customWidth="1"/>
    <col min="7684" max="7685" width="13.5" customWidth="1"/>
    <col min="7686" max="7686" width="22" customWidth="1"/>
    <col min="7687" max="7687" width="13" customWidth="1"/>
    <col min="7688" max="7688" width="8" customWidth="1"/>
    <col min="7937" max="7937" width="12.75" customWidth="1"/>
    <col min="7938" max="7938" width="11.625" customWidth="1"/>
    <col min="7939" max="7939" width="35.75" customWidth="1"/>
    <col min="7940" max="7941" width="13.5" customWidth="1"/>
    <col min="7942" max="7942" width="22" customWidth="1"/>
    <col min="7943" max="7943" width="13" customWidth="1"/>
    <col min="7944" max="7944" width="8" customWidth="1"/>
    <col min="8193" max="8193" width="12.75" customWidth="1"/>
    <col min="8194" max="8194" width="11.625" customWidth="1"/>
    <col min="8195" max="8195" width="35.75" customWidth="1"/>
    <col min="8196" max="8197" width="13.5" customWidth="1"/>
    <col min="8198" max="8198" width="22" customWidth="1"/>
    <col min="8199" max="8199" width="13" customWidth="1"/>
    <col min="8200" max="8200" width="8" customWidth="1"/>
    <col min="8449" max="8449" width="12.75" customWidth="1"/>
    <col min="8450" max="8450" width="11.625" customWidth="1"/>
    <col min="8451" max="8451" width="35.75" customWidth="1"/>
    <col min="8452" max="8453" width="13.5" customWidth="1"/>
    <col min="8454" max="8454" width="22" customWidth="1"/>
    <col min="8455" max="8455" width="13" customWidth="1"/>
    <col min="8456" max="8456" width="8" customWidth="1"/>
    <col min="8705" max="8705" width="12.75" customWidth="1"/>
    <col min="8706" max="8706" width="11.625" customWidth="1"/>
    <col min="8707" max="8707" width="35.75" customWidth="1"/>
    <col min="8708" max="8709" width="13.5" customWidth="1"/>
    <col min="8710" max="8710" width="22" customWidth="1"/>
    <col min="8711" max="8711" width="13" customWidth="1"/>
    <col min="8712" max="8712" width="8" customWidth="1"/>
    <col min="8961" max="8961" width="12.75" customWidth="1"/>
    <col min="8962" max="8962" width="11.625" customWidth="1"/>
    <col min="8963" max="8963" width="35.75" customWidth="1"/>
    <col min="8964" max="8965" width="13.5" customWidth="1"/>
    <col min="8966" max="8966" width="22" customWidth="1"/>
    <col min="8967" max="8967" width="13" customWidth="1"/>
    <col min="8968" max="8968" width="8" customWidth="1"/>
    <col min="9217" max="9217" width="12.75" customWidth="1"/>
    <col min="9218" max="9218" width="11.625" customWidth="1"/>
    <col min="9219" max="9219" width="35.75" customWidth="1"/>
    <col min="9220" max="9221" width="13.5" customWidth="1"/>
    <col min="9222" max="9222" width="22" customWidth="1"/>
    <col min="9223" max="9223" width="13" customWidth="1"/>
    <col min="9224" max="9224" width="8" customWidth="1"/>
    <col min="9473" max="9473" width="12.75" customWidth="1"/>
    <col min="9474" max="9474" width="11.625" customWidth="1"/>
    <col min="9475" max="9475" width="35.75" customWidth="1"/>
    <col min="9476" max="9477" width="13.5" customWidth="1"/>
    <col min="9478" max="9478" width="22" customWidth="1"/>
    <col min="9479" max="9479" width="13" customWidth="1"/>
    <col min="9480" max="9480" width="8" customWidth="1"/>
    <col min="9729" max="9729" width="12.75" customWidth="1"/>
    <col min="9730" max="9730" width="11.625" customWidth="1"/>
    <col min="9731" max="9731" width="35.75" customWidth="1"/>
    <col min="9732" max="9733" width="13.5" customWidth="1"/>
    <col min="9734" max="9734" width="22" customWidth="1"/>
    <col min="9735" max="9735" width="13" customWidth="1"/>
    <col min="9736" max="9736" width="8" customWidth="1"/>
    <col min="9985" max="9985" width="12.75" customWidth="1"/>
    <col min="9986" max="9986" width="11.625" customWidth="1"/>
    <col min="9987" max="9987" width="35.75" customWidth="1"/>
    <col min="9988" max="9989" width="13.5" customWidth="1"/>
    <col min="9990" max="9990" width="22" customWidth="1"/>
    <col min="9991" max="9991" width="13" customWidth="1"/>
    <col min="9992" max="9992" width="8" customWidth="1"/>
    <col min="10241" max="10241" width="12.75" customWidth="1"/>
    <col min="10242" max="10242" width="11.625" customWidth="1"/>
    <col min="10243" max="10243" width="35.75" customWidth="1"/>
    <col min="10244" max="10245" width="13.5" customWidth="1"/>
    <col min="10246" max="10246" width="22" customWidth="1"/>
    <col min="10247" max="10247" width="13" customWidth="1"/>
    <col min="10248" max="10248" width="8" customWidth="1"/>
    <col min="10497" max="10497" width="12.75" customWidth="1"/>
    <col min="10498" max="10498" width="11.625" customWidth="1"/>
    <col min="10499" max="10499" width="35.75" customWidth="1"/>
    <col min="10500" max="10501" width="13.5" customWidth="1"/>
    <col min="10502" max="10502" width="22" customWidth="1"/>
    <col min="10503" max="10503" width="13" customWidth="1"/>
    <col min="10504" max="10504" width="8" customWidth="1"/>
    <col min="10753" max="10753" width="12.75" customWidth="1"/>
    <col min="10754" max="10754" width="11.625" customWidth="1"/>
    <col min="10755" max="10755" width="35.75" customWidth="1"/>
    <col min="10756" max="10757" width="13.5" customWidth="1"/>
    <col min="10758" max="10758" width="22" customWidth="1"/>
    <col min="10759" max="10759" width="13" customWidth="1"/>
    <col min="10760" max="10760" width="8" customWidth="1"/>
    <col min="11009" max="11009" width="12.75" customWidth="1"/>
    <col min="11010" max="11010" width="11.625" customWidth="1"/>
    <col min="11011" max="11011" width="35.75" customWidth="1"/>
    <col min="11012" max="11013" width="13.5" customWidth="1"/>
    <col min="11014" max="11014" width="22" customWidth="1"/>
    <col min="11015" max="11015" width="13" customWidth="1"/>
    <col min="11016" max="11016" width="8" customWidth="1"/>
    <col min="11265" max="11265" width="12.75" customWidth="1"/>
    <col min="11266" max="11266" width="11.625" customWidth="1"/>
    <col min="11267" max="11267" width="35.75" customWidth="1"/>
    <col min="11268" max="11269" width="13.5" customWidth="1"/>
    <col min="11270" max="11270" width="22" customWidth="1"/>
    <col min="11271" max="11271" width="13" customWidth="1"/>
    <col min="11272" max="11272" width="8" customWidth="1"/>
    <col min="11521" max="11521" width="12.75" customWidth="1"/>
    <col min="11522" max="11522" width="11.625" customWidth="1"/>
    <col min="11523" max="11523" width="35.75" customWidth="1"/>
    <col min="11524" max="11525" width="13.5" customWidth="1"/>
    <col min="11526" max="11526" width="22" customWidth="1"/>
    <col min="11527" max="11527" width="13" customWidth="1"/>
    <col min="11528" max="11528" width="8" customWidth="1"/>
    <col min="11777" max="11777" width="12.75" customWidth="1"/>
    <col min="11778" max="11778" width="11.625" customWidth="1"/>
    <col min="11779" max="11779" width="35.75" customWidth="1"/>
    <col min="11780" max="11781" width="13.5" customWidth="1"/>
    <col min="11782" max="11782" width="22" customWidth="1"/>
    <col min="11783" max="11783" width="13" customWidth="1"/>
    <col min="11784" max="11784" width="8" customWidth="1"/>
    <col min="12033" max="12033" width="12.75" customWidth="1"/>
    <col min="12034" max="12034" width="11.625" customWidth="1"/>
    <col min="12035" max="12035" width="35.75" customWidth="1"/>
    <col min="12036" max="12037" width="13.5" customWidth="1"/>
    <col min="12038" max="12038" width="22" customWidth="1"/>
    <col min="12039" max="12039" width="13" customWidth="1"/>
    <col min="12040" max="12040" width="8" customWidth="1"/>
    <col min="12289" max="12289" width="12.75" customWidth="1"/>
    <col min="12290" max="12290" width="11.625" customWidth="1"/>
    <col min="12291" max="12291" width="35.75" customWidth="1"/>
    <col min="12292" max="12293" width="13.5" customWidth="1"/>
    <col min="12294" max="12294" width="22" customWidth="1"/>
    <col min="12295" max="12295" width="13" customWidth="1"/>
    <col min="12296" max="12296" width="8" customWidth="1"/>
    <col min="12545" max="12545" width="12.75" customWidth="1"/>
    <col min="12546" max="12546" width="11.625" customWidth="1"/>
    <col min="12547" max="12547" width="35.75" customWidth="1"/>
    <col min="12548" max="12549" width="13.5" customWidth="1"/>
    <col min="12550" max="12550" width="22" customWidth="1"/>
    <col min="12551" max="12551" width="13" customWidth="1"/>
    <col min="12552" max="12552" width="8" customWidth="1"/>
    <col min="12801" max="12801" width="12.75" customWidth="1"/>
    <col min="12802" max="12802" width="11.625" customWidth="1"/>
    <col min="12803" max="12803" width="35.75" customWidth="1"/>
    <col min="12804" max="12805" width="13.5" customWidth="1"/>
    <col min="12806" max="12806" width="22" customWidth="1"/>
    <col min="12807" max="12807" width="13" customWidth="1"/>
    <col min="12808" max="12808" width="8" customWidth="1"/>
    <col min="13057" max="13057" width="12.75" customWidth="1"/>
    <col min="13058" max="13058" width="11.625" customWidth="1"/>
    <col min="13059" max="13059" width="35.75" customWidth="1"/>
    <col min="13060" max="13061" width="13.5" customWidth="1"/>
    <col min="13062" max="13062" width="22" customWidth="1"/>
    <col min="13063" max="13063" width="13" customWidth="1"/>
    <col min="13064" max="13064" width="8" customWidth="1"/>
    <col min="13313" max="13313" width="12.75" customWidth="1"/>
    <col min="13314" max="13314" width="11.625" customWidth="1"/>
    <col min="13315" max="13315" width="35.75" customWidth="1"/>
    <col min="13316" max="13317" width="13.5" customWidth="1"/>
    <col min="13318" max="13318" width="22" customWidth="1"/>
    <col min="13319" max="13319" width="13" customWidth="1"/>
    <col min="13320" max="13320" width="8" customWidth="1"/>
    <col min="13569" max="13569" width="12.75" customWidth="1"/>
    <col min="13570" max="13570" width="11.625" customWidth="1"/>
    <col min="13571" max="13571" width="35.75" customWidth="1"/>
    <col min="13572" max="13573" width="13.5" customWidth="1"/>
    <col min="13574" max="13574" width="22" customWidth="1"/>
    <col min="13575" max="13575" width="13" customWidth="1"/>
    <col min="13576" max="13576" width="8" customWidth="1"/>
    <col min="13825" max="13825" width="12.75" customWidth="1"/>
    <col min="13826" max="13826" width="11.625" customWidth="1"/>
    <col min="13827" max="13827" width="35.75" customWidth="1"/>
    <col min="13828" max="13829" width="13.5" customWidth="1"/>
    <col min="13830" max="13830" width="22" customWidth="1"/>
    <col min="13831" max="13831" width="13" customWidth="1"/>
    <col min="13832" max="13832" width="8" customWidth="1"/>
    <col min="14081" max="14081" width="12.75" customWidth="1"/>
    <col min="14082" max="14082" width="11.625" customWidth="1"/>
    <col min="14083" max="14083" width="35.75" customWidth="1"/>
    <col min="14084" max="14085" width="13.5" customWidth="1"/>
    <col min="14086" max="14086" width="22" customWidth="1"/>
    <col min="14087" max="14087" width="13" customWidth="1"/>
    <col min="14088" max="14088" width="8" customWidth="1"/>
    <col min="14337" max="14337" width="12.75" customWidth="1"/>
    <col min="14338" max="14338" width="11.625" customWidth="1"/>
    <col min="14339" max="14339" width="35.75" customWidth="1"/>
    <col min="14340" max="14341" width="13.5" customWidth="1"/>
    <col min="14342" max="14342" width="22" customWidth="1"/>
    <col min="14343" max="14343" width="13" customWidth="1"/>
    <col min="14344" max="14344" width="8" customWidth="1"/>
    <col min="14593" max="14593" width="12.75" customWidth="1"/>
    <col min="14594" max="14594" width="11.625" customWidth="1"/>
    <col min="14595" max="14595" width="35.75" customWidth="1"/>
    <col min="14596" max="14597" width="13.5" customWidth="1"/>
    <col min="14598" max="14598" width="22" customWidth="1"/>
    <col min="14599" max="14599" width="13" customWidth="1"/>
    <col min="14600" max="14600" width="8" customWidth="1"/>
    <col min="14849" max="14849" width="12.75" customWidth="1"/>
    <col min="14850" max="14850" width="11.625" customWidth="1"/>
    <col min="14851" max="14851" width="35.75" customWidth="1"/>
    <col min="14852" max="14853" width="13.5" customWidth="1"/>
    <col min="14854" max="14854" width="22" customWidth="1"/>
    <col min="14855" max="14855" width="13" customWidth="1"/>
    <col min="14856" max="14856" width="8" customWidth="1"/>
    <col min="15105" max="15105" width="12.75" customWidth="1"/>
    <col min="15106" max="15106" width="11.625" customWidth="1"/>
    <col min="15107" max="15107" width="35.75" customWidth="1"/>
    <col min="15108" max="15109" width="13.5" customWidth="1"/>
    <col min="15110" max="15110" width="22" customWidth="1"/>
    <col min="15111" max="15111" width="13" customWidth="1"/>
    <col min="15112" max="15112" width="8" customWidth="1"/>
    <col min="15361" max="15361" width="12.75" customWidth="1"/>
    <col min="15362" max="15362" width="11.625" customWidth="1"/>
    <col min="15363" max="15363" width="35.75" customWidth="1"/>
    <col min="15364" max="15365" width="13.5" customWidth="1"/>
    <col min="15366" max="15366" width="22" customWidth="1"/>
    <col min="15367" max="15367" width="13" customWidth="1"/>
    <col min="15368" max="15368" width="8" customWidth="1"/>
    <col min="15617" max="15617" width="12.75" customWidth="1"/>
    <col min="15618" max="15618" width="11.625" customWidth="1"/>
    <col min="15619" max="15619" width="35.75" customWidth="1"/>
    <col min="15620" max="15621" width="13.5" customWidth="1"/>
    <col min="15622" max="15622" width="22" customWidth="1"/>
    <col min="15623" max="15623" width="13" customWidth="1"/>
    <col min="15624" max="15624" width="8" customWidth="1"/>
    <col min="15873" max="15873" width="12.75" customWidth="1"/>
    <col min="15874" max="15874" width="11.625" customWidth="1"/>
    <col min="15875" max="15875" width="35.75" customWidth="1"/>
    <col min="15876" max="15877" width="13.5" customWidth="1"/>
    <col min="15878" max="15878" width="22" customWidth="1"/>
    <col min="15879" max="15879" width="13" customWidth="1"/>
    <col min="15880" max="15880" width="8" customWidth="1"/>
    <col min="16129" max="16129" width="12.75" customWidth="1"/>
    <col min="16130" max="16130" width="11.625" customWidth="1"/>
    <col min="16131" max="16131" width="35.75" customWidth="1"/>
    <col min="16132" max="16133" width="13.5" customWidth="1"/>
    <col min="16134" max="16134" width="22" customWidth="1"/>
    <col min="16135" max="16135" width="13" customWidth="1"/>
    <col min="16136" max="16136" width="8" customWidth="1"/>
  </cols>
  <sheetData>
    <row r="1" spans="1:12">
      <c r="A1" t="s">
        <v>233</v>
      </c>
      <c r="F1" s="21" t="s">
        <v>235</v>
      </c>
    </row>
    <row r="3" spans="1:12" ht="27">
      <c r="A3" s="11" t="s">
        <v>7</v>
      </c>
      <c r="B3" s="12" t="s">
        <v>13</v>
      </c>
      <c r="C3" s="11" t="s">
        <v>33</v>
      </c>
      <c r="D3" s="12" t="s">
        <v>77</v>
      </c>
      <c r="E3" s="12" t="s">
        <v>17</v>
      </c>
      <c r="F3" s="126" t="s">
        <v>89</v>
      </c>
      <c r="G3" s="126" t="s">
        <v>99</v>
      </c>
      <c r="H3" s="12" t="s">
        <v>129</v>
      </c>
      <c r="I3" s="124"/>
      <c r="J3" s="124"/>
      <c r="K3" s="124"/>
      <c r="L3" s="124"/>
    </row>
    <row r="4" spans="1:12" ht="28.5" customHeight="1">
      <c r="A4" s="97"/>
      <c r="B4" s="97"/>
      <c r="C4" s="97"/>
      <c r="D4" s="97"/>
      <c r="E4" s="97"/>
      <c r="F4" s="97"/>
      <c r="G4" s="97"/>
      <c r="H4" s="97"/>
    </row>
    <row r="5" spans="1:12" ht="28.5" customHeight="1">
      <c r="A5" s="97"/>
      <c r="B5" s="97"/>
      <c r="C5" s="97"/>
      <c r="D5" s="97"/>
      <c r="E5" s="97"/>
      <c r="F5" s="97"/>
      <c r="G5" s="97"/>
      <c r="H5" s="97"/>
    </row>
    <row r="6" spans="1:12" ht="28.5" customHeight="1">
      <c r="A6" s="97"/>
      <c r="B6" s="97"/>
      <c r="C6" s="97"/>
      <c r="D6" s="97"/>
      <c r="E6" s="97"/>
      <c r="F6" s="97"/>
      <c r="G6" s="97"/>
      <c r="H6" s="97"/>
    </row>
    <row r="7" spans="1:12" ht="28.5" customHeight="1">
      <c r="A7" s="97"/>
      <c r="B7" s="97"/>
      <c r="C7" s="97"/>
      <c r="D7" s="97"/>
      <c r="E7" s="97"/>
      <c r="F7" s="97"/>
      <c r="G7" s="97"/>
      <c r="H7" s="97"/>
    </row>
    <row r="8" spans="1:12" ht="28.5" customHeight="1">
      <c r="A8" s="97"/>
      <c r="B8" s="97"/>
      <c r="C8" s="97"/>
      <c r="D8" s="97"/>
      <c r="E8" s="97"/>
      <c r="F8" s="97"/>
      <c r="G8" s="97"/>
      <c r="H8" s="97"/>
    </row>
    <row r="9" spans="1:12" ht="28.5" customHeight="1">
      <c r="A9" s="97"/>
      <c r="B9" s="97"/>
      <c r="C9" s="97"/>
      <c r="D9" s="97"/>
      <c r="E9" s="97"/>
      <c r="F9" s="97"/>
      <c r="G9" s="97"/>
      <c r="H9" s="97"/>
    </row>
    <row r="10" spans="1:12" ht="28.5" customHeight="1">
      <c r="A10" s="97"/>
      <c r="B10" s="97"/>
      <c r="C10" s="97"/>
      <c r="D10" s="97"/>
      <c r="E10" s="97"/>
      <c r="F10" s="97"/>
      <c r="G10" s="97"/>
      <c r="H10" s="97"/>
    </row>
    <row r="11" spans="1:12" ht="28.5" customHeight="1">
      <c r="A11" s="97"/>
      <c r="B11" s="97"/>
      <c r="C11" s="97"/>
      <c r="D11" s="97"/>
      <c r="E11" s="97"/>
      <c r="F11" s="97"/>
      <c r="G11" s="97"/>
      <c r="H11" s="97"/>
    </row>
    <row r="12" spans="1:12" ht="28.5" customHeight="1">
      <c r="A12" s="97"/>
      <c r="B12" s="97"/>
      <c r="C12" s="97"/>
      <c r="D12" s="97"/>
      <c r="E12" s="97"/>
      <c r="F12" s="97"/>
      <c r="G12" s="97"/>
      <c r="H12" s="97"/>
    </row>
    <row r="13" spans="1:12" ht="28.5" customHeight="1">
      <c r="A13" s="97"/>
      <c r="B13" s="97"/>
      <c r="C13" s="97"/>
      <c r="D13" s="97"/>
      <c r="E13" s="97"/>
      <c r="F13" s="97"/>
      <c r="G13" s="97"/>
      <c r="H13" s="97"/>
    </row>
    <row r="14" spans="1:12" ht="28.5" customHeight="1">
      <c r="A14" s="97"/>
      <c r="B14" s="97"/>
      <c r="C14" s="97"/>
      <c r="D14" s="97"/>
      <c r="E14" s="97"/>
      <c r="F14" s="97"/>
      <c r="G14" s="97"/>
      <c r="H14" s="97"/>
    </row>
    <row r="15" spans="1:12" ht="28.5" customHeight="1">
      <c r="A15" s="97"/>
      <c r="B15" s="97"/>
      <c r="C15" s="97"/>
      <c r="D15" s="97"/>
      <c r="E15" s="97"/>
      <c r="F15" s="97"/>
      <c r="G15" s="97"/>
      <c r="H15" s="97"/>
    </row>
    <row r="16" spans="1:12" ht="39" customHeight="1">
      <c r="D16" s="125" t="s">
        <v>234</v>
      </c>
      <c r="E16" s="125"/>
      <c r="F16" s="125"/>
      <c r="G16" s="125"/>
      <c r="H16" s="125"/>
    </row>
  </sheetData>
  <mergeCells count="1">
    <mergeCell ref="D16:H16"/>
  </mergeCells>
  <phoneticPr fontId="1"/>
  <pageMargins left="0.7" right="0.7" top="0.75" bottom="0.75"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D12"/>
  <sheetViews>
    <sheetView view="pageBreakPreview" zoomScale="60" workbookViewId="0">
      <selection activeCell="A46" sqref="A46"/>
    </sheetView>
  </sheetViews>
  <sheetFormatPr defaultRowHeight="13.5"/>
  <cols>
    <col min="1" max="1" width="36.25" customWidth="1"/>
    <col min="2" max="2" width="53.125" customWidth="1"/>
    <col min="257" max="257" width="36.25" customWidth="1"/>
    <col min="258" max="258" width="53.125" customWidth="1"/>
    <col min="513" max="513" width="36.25" customWidth="1"/>
    <col min="514" max="514" width="53.125" customWidth="1"/>
    <col min="769" max="769" width="36.25" customWidth="1"/>
    <col min="770" max="770" width="53.125" customWidth="1"/>
    <col min="1025" max="1025" width="36.25" customWidth="1"/>
    <col min="1026" max="1026" width="53.125" customWidth="1"/>
    <col min="1281" max="1281" width="36.25" customWidth="1"/>
    <col min="1282" max="1282" width="53.125" customWidth="1"/>
    <col min="1537" max="1537" width="36.25" customWidth="1"/>
    <col min="1538" max="1538" width="53.125" customWidth="1"/>
    <col min="1793" max="1793" width="36.25" customWidth="1"/>
    <col min="1794" max="1794" width="53.125" customWidth="1"/>
    <col min="2049" max="2049" width="36.25" customWidth="1"/>
    <col min="2050" max="2050" width="53.125" customWidth="1"/>
    <col min="2305" max="2305" width="36.25" customWidth="1"/>
    <col min="2306" max="2306" width="53.125" customWidth="1"/>
    <col min="2561" max="2561" width="36.25" customWidth="1"/>
    <col min="2562" max="2562" width="53.125" customWidth="1"/>
    <col min="2817" max="2817" width="36.25" customWidth="1"/>
    <col min="2818" max="2818" width="53.125" customWidth="1"/>
    <col min="3073" max="3073" width="36.25" customWidth="1"/>
    <col min="3074" max="3074" width="53.125" customWidth="1"/>
    <col min="3329" max="3329" width="36.25" customWidth="1"/>
    <col min="3330" max="3330" width="53.125" customWidth="1"/>
    <col min="3585" max="3585" width="36.25" customWidth="1"/>
    <col min="3586" max="3586" width="53.125" customWidth="1"/>
    <col min="3841" max="3841" width="36.25" customWidth="1"/>
    <col min="3842" max="3842" width="53.125" customWidth="1"/>
    <col min="4097" max="4097" width="36.25" customWidth="1"/>
    <col min="4098" max="4098" width="53.125" customWidth="1"/>
    <col min="4353" max="4353" width="36.25" customWidth="1"/>
    <col min="4354" max="4354" width="53.125" customWidth="1"/>
    <col min="4609" max="4609" width="36.25" customWidth="1"/>
    <col min="4610" max="4610" width="53.125" customWidth="1"/>
    <col min="4865" max="4865" width="36.25" customWidth="1"/>
    <col min="4866" max="4866" width="53.125" customWidth="1"/>
    <col min="5121" max="5121" width="36.25" customWidth="1"/>
    <col min="5122" max="5122" width="53.125" customWidth="1"/>
    <col min="5377" max="5377" width="36.25" customWidth="1"/>
    <col min="5378" max="5378" width="53.125" customWidth="1"/>
    <col min="5633" max="5633" width="36.25" customWidth="1"/>
    <col min="5634" max="5634" width="53.125" customWidth="1"/>
    <col min="5889" max="5889" width="36.25" customWidth="1"/>
    <col min="5890" max="5890" width="53.125" customWidth="1"/>
    <col min="6145" max="6145" width="36.25" customWidth="1"/>
    <col min="6146" max="6146" width="53.125" customWidth="1"/>
    <col min="6401" max="6401" width="36.25" customWidth="1"/>
    <col min="6402" max="6402" width="53.125" customWidth="1"/>
    <col min="6657" max="6657" width="36.25" customWidth="1"/>
    <col min="6658" max="6658" width="53.125" customWidth="1"/>
    <col min="6913" max="6913" width="36.25" customWidth="1"/>
    <col min="6914" max="6914" width="53.125" customWidth="1"/>
    <col min="7169" max="7169" width="36.25" customWidth="1"/>
    <col min="7170" max="7170" width="53.125" customWidth="1"/>
    <col min="7425" max="7425" width="36.25" customWidth="1"/>
    <col min="7426" max="7426" width="53.125" customWidth="1"/>
    <col min="7681" max="7681" width="36.25" customWidth="1"/>
    <col min="7682" max="7682" width="53.125" customWidth="1"/>
    <col min="7937" max="7937" width="36.25" customWidth="1"/>
    <col min="7938" max="7938" width="53.125" customWidth="1"/>
    <col min="8193" max="8193" width="36.25" customWidth="1"/>
    <col min="8194" max="8194" width="53.125" customWidth="1"/>
    <col min="8449" max="8449" width="36.25" customWidth="1"/>
    <col min="8450" max="8450" width="53.125" customWidth="1"/>
    <col min="8705" max="8705" width="36.25" customWidth="1"/>
    <col min="8706" max="8706" width="53.125" customWidth="1"/>
    <col min="8961" max="8961" width="36.25" customWidth="1"/>
    <col min="8962" max="8962" width="53.125" customWidth="1"/>
    <col min="9217" max="9217" width="36.25" customWidth="1"/>
    <col min="9218" max="9218" width="53.125" customWidth="1"/>
    <col min="9473" max="9473" width="36.25" customWidth="1"/>
    <col min="9474" max="9474" width="53.125" customWidth="1"/>
    <col min="9729" max="9729" width="36.25" customWidth="1"/>
    <col min="9730" max="9730" width="53.125" customWidth="1"/>
    <col min="9985" max="9985" width="36.25" customWidth="1"/>
    <col min="9986" max="9986" width="53.125" customWidth="1"/>
    <col min="10241" max="10241" width="36.25" customWidth="1"/>
    <col min="10242" max="10242" width="53.125" customWidth="1"/>
    <col min="10497" max="10497" width="36.25" customWidth="1"/>
    <col min="10498" max="10498" width="53.125" customWidth="1"/>
    <col min="10753" max="10753" width="36.25" customWidth="1"/>
    <col min="10754" max="10754" width="53.125" customWidth="1"/>
    <col min="11009" max="11009" width="36.25" customWidth="1"/>
    <col min="11010" max="11010" width="53.125" customWidth="1"/>
    <col min="11265" max="11265" width="36.25" customWidth="1"/>
    <col min="11266" max="11266" width="53.125" customWidth="1"/>
    <col min="11521" max="11521" width="36.25" customWidth="1"/>
    <col min="11522" max="11522" width="53.125" customWidth="1"/>
    <col min="11777" max="11777" width="36.25" customWidth="1"/>
    <col min="11778" max="11778" width="53.125" customWidth="1"/>
    <col min="12033" max="12033" width="36.25" customWidth="1"/>
    <col min="12034" max="12034" width="53.125" customWidth="1"/>
    <col min="12289" max="12289" width="36.25" customWidth="1"/>
    <col min="12290" max="12290" width="53.125" customWidth="1"/>
    <col min="12545" max="12545" width="36.25" customWidth="1"/>
    <col min="12546" max="12546" width="53.125" customWidth="1"/>
    <col min="12801" max="12801" width="36.25" customWidth="1"/>
    <col min="12802" max="12802" width="53.125" customWidth="1"/>
    <col min="13057" max="13057" width="36.25" customWidth="1"/>
    <col min="13058" max="13058" width="53.125" customWidth="1"/>
    <col min="13313" max="13313" width="36.25" customWidth="1"/>
    <col min="13314" max="13314" width="53.125" customWidth="1"/>
    <col min="13569" max="13569" width="36.25" customWidth="1"/>
    <col min="13570" max="13570" width="53.125" customWidth="1"/>
    <col min="13825" max="13825" width="36.25" customWidth="1"/>
    <col min="13826" max="13826" width="53.125" customWidth="1"/>
    <col min="14081" max="14081" width="36.25" customWidth="1"/>
    <col min="14082" max="14082" width="53.125" customWidth="1"/>
    <col min="14337" max="14337" width="36.25" customWidth="1"/>
    <col min="14338" max="14338" width="53.125" customWidth="1"/>
    <col min="14593" max="14593" width="36.25" customWidth="1"/>
    <col min="14594" max="14594" width="53.125" customWidth="1"/>
    <col min="14849" max="14849" width="36.25" customWidth="1"/>
    <col min="14850" max="14850" width="53.125" customWidth="1"/>
    <col min="15105" max="15105" width="36.25" customWidth="1"/>
    <col min="15106" max="15106" width="53.125" customWidth="1"/>
    <col min="15361" max="15361" width="36.25" customWidth="1"/>
    <col min="15362" max="15362" width="53.125" customWidth="1"/>
    <col min="15617" max="15617" width="36.25" customWidth="1"/>
    <col min="15618" max="15618" width="53.125" customWidth="1"/>
    <col min="15873" max="15873" width="36.25" customWidth="1"/>
    <col min="15874" max="15874" width="53.125" customWidth="1"/>
    <col min="16129" max="16129" width="36.25" customWidth="1"/>
    <col min="16130" max="16130" width="53.125" customWidth="1"/>
  </cols>
  <sheetData>
    <row r="1" spans="1:4" ht="18.75" customHeight="1">
      <c r="A1" t="s">
        <v>82</v>
      </c>
      <c r="B1" s="21" t="s">
        <v>202</v>
      </c>
    </row>
    <row r="3" spans="1:4" ht="27">
      <c r="A3" s="127" t="s">
        <v>230</v>
      </c>
      <c r="B3" s="97"/>
    </row>
    <row r="4" spans="1:4" ht="32.25" customHeight="1">
      <c r="A4" s="127" t="s">
        <v>32</v>
      </c>
      <c r="B4" s="97"/>
    </row>
    <row r="5" spans="1:4" ht="32.25" customHeight="1">
      <c r="A5" s="127" t="s">
        <v>189</v>
      </c>
      <c r="B5" s="97"/>
    </row>
    <row r="6" spans="1:4" ht="32.25" customHeight="1">
      <c r="A6" s="127" t="s">
        <v>231</v>
      </c>
      <c r="B6" s="97"/>
      <c r="D6" s="130"/>
    </row>
    <row r="7" spans="1:4" ht="32.25" customHeight="1">
      <c r="A7" s="127" t="s">
        <v>232</v>
      </c>
      <c r="B7" s="97"/>
    </row>
    <row r="8" spans="1:4" ht="32.25" customHeight="1">
      <c r="A8" s="127" t="s">
        <v>231</v>
      </c>
      <c r="B8" s="97"/>
    </row>
    <row r="9" spans="1:4" ht="32.25" customHeight="1">
      <c r="A9" s="127" t="s">
        <v>84</v>
      </c>
      <c r="B9" s="97"/>
    </row>
    <row r="10" spans="1:4" ht="32.25" customHeight="1">
      <c r="A10" s="127" t="s">
        <v>67</v>
      </c>
      <c r="B10" s="97"/>
    </row>
    <row r="11" spans="1:4" ht="11.25" customHeight="1">
      <c r="A11" s="128"/>
    </row>
    <row r="12" spans="1:4" ht="41.25" customHeight="1">
      <c r="A12" s="129" t="s">
        <v>192</v>
      </c>
      <c r="B12" s="129"/>
    </row>
  </sheetData>
  <mergeCells count="1">
    <mergeCell ref="A12:B12"/>
  </mergeCells>
  <phoneticPr fontId="1"/>
  <pageMargins left="0.7" right="0.7" top="0.75" bottom="0.75"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J12"/>
  <sheetViews>
    <sheetView view="pageBreakPreview" zoomScale="60" workbookViewId="0">
      <selection activeCell="A46" sqref="A46"/>
    </sheetView>
  </sheetViews>
  <sheetFormatPr defaultRowHeight="13.5"/>
  <cols>
    <col min="1" max="1" width="33.875" customWidth="1"/>
    <col min="2" max="2" width="54.625" customWidth="1"/>
    <col min="4" max="4" width="6.75" customWidth="1"/>
    <col min="257" max="257" width="33.875" customWidth="1"/>
    <col min="258" max="258" width="54.625" customWidth="1"/>
    <col min="260" max="260" width="6.75" customWidth="1"/>
    <col min="513" max="513" width="33.875" customWidth="1"/>
    <col min="514" max="514" width="54.625" customWidth="1"/>
    <col min="516" max="516" width="6.75" customWidth="1"/>
    <col min="769" max="769" width="33.875" customWidth="1"/>
    <col min="770" max="770" width="54.625" customWidth="1"/>
    <col min="772" max="772" width="6.75" customWidth="1"/>
    <col min="1025" max="1025" width="33.875" customWidth="1"/>
    <col min="1026" max="1026" width="54.625" customWidth="1"/>
    <col min="1028" max="1028" width="6.75" customWidth="1"/>
    <col min="1281" max="1281" width="33.875" customWidth="1"/>
    <col min="1282" max="1282" width="54.625" customWidth="1"/>
    <col min="1284" max="1284" width="6.75" customWidth="1"/>
    <col min="1537" max="1537" width="33.875" customWidth="1"/>
    <col min="1538" max="1538" width="54.625" customWidth="1"/>
    <col min="1540" max="1540" width="6.75" customWidth="1"/>
    <col min="1793" max="1793" width="33.875" customWidth="1"/>
    <col min="1794" max="1794" width="54.625" customWidth="1"/>
    <col min="1796" max="1796" width="6.75" customWidth="1"/>
    <col min="2049" max="2049" width="33.875" customWidth="1"/>
    <col min="2050" max="2050" width="54.625" customWidth="1"/>
    <col min="2052" max="2052" width="6.75" customWidth="1"/>
    <col min="2305" max="2305" width="33.875" customWidth="1"/>
    <col min="2306" max="2306" width="54.625" customWidth="1"/>
    <col min="2308" max="2308" width="6.75" customWidth="1"/>
    <col min="2561" max="2561" width="33.875" customWidth="1"/>
    <col min="2562" max="2562" width="54.625" customWidth="1"/>
    <col min="2564" max="2564" width="6.75" customWidth="1"/>
    <col min="2817" max="2817" width="33.875" customWidth="1"/>
    <col min="2818" max="2818" width="54.625" customWidth="1"/>
    <col min="2820" max="2820" width="6.75" customWidth="1"/>
    <col min="3073" max="3073" width="33.875" customWidth="1"/>
    <col min="3074" max="3074" width="54.625" customWidth="1"/>
    <col min="3076" max="3076" width="6.75" customWidth="1"/>
    <col min="3329" max="3329" width="33.875" customWidth="1"/>
    <col min="3330" max="3330" width="54.625" customWidth="1"/>
    <col min="3332" max="3332" width="6.75" customWidth="1"/>
    <col min="3585" max="3585" width="33.875" customWidth="1"/>
    <col min="3586" max="3586" width="54.625" customWidth="1"/>
    <col min="3588" max="3588" width="6.75" customWidth="1"/>
    <col min="3841" max="3841" width="33.875" customWidth="1"/>
    <col min="3842" max="3842" width="54.625" customWidth="1"/>
    <col min="3844" max="3844" width="6.75" customWidth="1"/>
    <col min="4097" max="4097" width="33.875" customWidth="1"/>
    <col min="4098" max="4098" width="54.625" customWidth="1"/>
    <col min="4100" max="4100" width="6.75" customWidth="1"/>
    <col min="4353" max="4353" width="33.875" customWidth="1"/>
    <col min="4354" max="4354" width="54.625" customWidth="1"/>
    <col min="4356" max="4356" width="6.75" customWidth="1"/>
    <col min="4609" max="4609" width="33.875" customWidth="1"/>
    <col min="4610" max="4610" width="54.625" customWidth="1"/>
    <col min="4612" max="4612" width="6.75" customWidth="1"/>
    <col min="4865" max="4865" width="33.875" customWidth="1"/>
    <col min="4866" max="4866" width="54.625" customWidth="1"/>
    <col min="4868" max="4868" width="6.75" customWidth="1"/>
    <col min="5121" max="5121" width="33.875" customWidth="1"/>
    <col min="5122" max="5122" width="54.625" customWidth="1"/>
    <col min="5124" max="5124" width="6.75" customWidth="1"/>
    <col min="5377" max="5377" width="33.875" customWidth="1"/>
    <col min="5378" max="5378" width="54.625" customWidth="1"/>
    <col min="5380" max="5380" width="6.75" customWidth="1"/>
    <col min="5633" max="5633" width="33.875" customWidth="1"/>
    <col min="5634" max="5634" width="54.625" customWidth="1"/>
    <col min="5636" max="5636" width="6.75" customWidth="1"/>
    <col min="5889" max="5889" width="33.875" customWidth="1"/>
    <col min="5890" max="5890" width="54.625" customWidth="1"/>
    <col min="5892" max="5892" width="6.75" customWidth="1"/>
    <col min="6145" max="6145" width="33.875" customWidth="1"/>
    <col min="6146" max="6146" width="54.625" customWidth="1"/>
    <col min="6148" max="6148" width="6.75" customWidth="1"/>
    <col min="6401" max="6401" width="33.875" customWidth="1"/>
    <col min="6402" max="6402" width="54.625" customWidth="1"/>
    <col min="6404" max="6404" width="6.75" customWidth="1"/>
    <col min="6657" max="6657" width="33.875" customWidth="1"/>
    <col min="6658" max="6658" width="54.625" customWidth="1"/>
    <col min="6660" max="6660" width="6.75" customWidth="1"/>
    <col min="6913" max="6913" width="33.875" customWidth="1"/>
    <col min="6914" max="6914" width="54.625" customWidth="1"/>
    <col min="6916" max="6916" width="6.75" customWidth="1"/>
    <col min="7169" max="7169" width="33.875" customWidth="1"/>
    <col min="7170" max="7170" width="54.625" customWidth="1"/>
    <col min="7172" max="7172" width="6.75" customWidth="1"/>
    <col min="7425" max="7425" width="33.875" customWidth="1"/>
    <col min="7426" max="7426" width="54.625" customWidth="1"/>
    <col min="7428" max="7428" width="6.75" customWidth="1"/>
    <col min="7681" max="7681" width="33.875" customWidth="1"/>
    <col min="7682" max="7682" width="54.625" customWidth="1"/>
    <col min="7684" max="7684" width="6.75" customWidth="1"/>
    <col min="7937" max="7937" width="33.875" customWidth="1"/>
    <col min="7938" max="7938" width="54.625" customWidth="1"/>
    <col min="7940" max="7940" width="6.75" customWidth="1"/>
    <col min="8193" max="8193" width="33.875" customWidth="1"/>
    <col min="8194" max="8194" width="54.625" customWidth="1"/>
    <col min="8196" max="8196" width="6.75" customWidth="1"/>
    <col min="8449" max="8449" width="33.875" customWidth="1"/>
    <col min="8450" max="8450" width="54.625" customWidth="1"/>
    <col min="8452" max="8452" width="6.75" customWidth="1"/>
    <col min="8705" max="8705" width="33.875" customWidth="1"/>
    <col min="8706" max="8706" width="54.625" customWidth="1"/>
    <col min="8708" max="8708" width="6.75" customWidth="1"/>
    <col min="8961" max="8961" width="33.875" customWidth="1"/>
    <col min="8962" max="8962" width="54.625" customWidth="1"/>
    <col min="8964" max="8964" width="6.75" customWidth="1"/>
    <col min="9217" max="9217" width="33.875" customWidth="1"/>
    <col min="9218" max="9218" width="54.625" customWidth="1"/>
    <col min="9220" max="9220" width="6.75" customWidth="1"/>
    <col min="9473" max="9473" width="33.875" customWidth="1"/>
    <col min="9474" max="9474" width="54.625" customWidth="1"/>
    <col min="9476" max="9476" width="6.75" customWidth="1"/>
    <col min="9729" max="9729" width="33.875" customWidth="1"/>
    <col min="9730" max="9730" width="54.625" customWidth="1"/>
    <col min="9732" max="9732" width="6.75" customWidth="1"/>
    <col min="9985" max="9985" width="33.875" customWidth="1"/>
    <col min="9986" max="9986" width="54.625" customWidth="1"/>
    <col min="9988" max="9988" width="6.75" customWidth="1"/>
    <col min="10241" max="10241" width="33.875" customWidth="1"/>
    <col min="10242" max="10242" width="54.625" customWidth="1"/>
    <col min="10244" max="10244" width="6.75" customWidth="1"/>
    <col min="10497" max="10497" width="33.875" customWidth="1"/>
    <col min="10498" max="10498" width="54.625" customWidth="1"/>
    <col min="10500" max="10500" width="6.75" customWidth="1"/>
    <col min="10753" max="10753" width="33.875" customWidth="1"/>
    <col min="10754" max="10754" width="54.625" customWidth="1"/>
    <col min="10756" max="10756" width="6.75" customWidth="1"/>
    <col min="11009" max="11009" width="33.875" customWidth="1"/>
    <col min="11010" max="11010" width="54.625" customWidth="1"/>
    <col min="11012" max="11012" width="6.75" customWidth="1"/>
    <col min="11265" max="11265" width="33.875" customWidth="1"/>
    <col min="11266" max="11266" width="54.625" customWidth="1"/>
    <col min="11268" max="11268" width="6.75" customWidth="1"/>
    <col min="11521" max="11521" width="33.875" customWidth="1"/>
    <col min="11522" max="11522" width="54.625" customWidth="1"/>
    <col min="11524" max="11524" width="6.75" customWidth="1"/>
    <col min="11777" max="11777" width="33.875" customWidth="1"/>
    <col min="11778" max="11778" width="54.625" customWidth="1"/>
    <col min="11780" max="11780" width="6.75" customWidth="1"/>
    <col min="12033" max="12033" width="33.875" customWidth="1"/>
    <col min="12034" max="12034" width="54.625" customWidth="1"/>
    <col min="12036" max="12036" width="6.75" customWidth="1"/>
    <col min="12289" max="12289" width="33.875" customWidth="1"/>
    <col min="12290" max="12290" width="54.625" customWidth="1"/>
    <col min="12292" max="12292" width="6.75" customWidth="1"/>
    <col min="12545" max="12545" width="33.875" customWidth="1"/>
    <col min="12546" max="12546" width="54.625" customWidth="1"/>
    <col min="12548" max="12548" width="6.75" customWidth="1"/>
    <col min="12801" max="12801" width="33.875" customWidth="1"/>
    <col min="12802" max="12802" width="54.625" customWidth="1"/>
    <col min="12804" max="12804" width="6.75" customWidth="1"/>
    <col min="13057" max="13057" width="33.875" customWidth="1"/>
    <col min="13058" max="13058" width="54.625" customWidth="1"/>
    <col min="13060" max="13060" width="6.75" customWidth="1"/>
    <col min="13313" max="13313" width="33.875" customWidth="1"/>
    <col min="13314" max="13314" width="54.625" customWidth="1"/>
    <col min="13316" max="13316" width="6.75" customWidth="1"/>
    <col min="13569" max="13569" width="33.875" customWidth="1"/>
    <col min="13570" max="13570" width="54.625" customWidth="1"/>
    <col min="13572" max="13572" width="6.75" customWidth="1"/>
    <col min="13825" max="13825" width="33.875" customWidth="1"/>
    <col min="13826" max="13826" width="54.625" customWidth="1"/>
    <col min="13828" max="13828" width="6.75" customWidth="1"/>
    <col min="14081" max="14081" width="33.875" customWidth="1"/>
    <col min="14082" max="14082" width="54.625" customWidth="1"/>
    <col min="14084" max="14084" width="6.75" customWidth="1"/>
    <col min="14337" max="14337" width="33.875" customWidth="1"/>
    <col min="14338" max="14338" width="54.625" customWidth="1"/>
    <col min="14340" max="14340" width="6.75" customWidth="1"/>
    <col min="14593" max="14593" width="33.875" customWidth="1"/>
    <col min="14594" max="14594" width="54.625" customWidth="1"/>
    <col min="14596" max="14596" width="6.75" customWidth="1"/>
    <col min="14849" max="14849" width="33.875" customWidth="1"/>
    <col min="14850" max="14850" width="54.625" customWidth="1"/>
    <col min="14852" max="14852" width="6.75" customWidth="1"/>
    <col min="15105" max="15105" width="33.875" customWidth="1"/>
    <col min="15106" max="15106" width="54.625" customWidth="1"/>
    <col min="15108" max="15108" width="6.75" customWidth="1"/>
    <col min="15361" max="15361" width="33.875" customWidth="1"/>
    <col min="15362" max="15362" width="54.625" customWidth="1"/>
    <col min="15364" max="15364" width="6.75" customWidth="1"/>
    <col min="15617" max="15617" width="33.875" customWidth="1"/>
    <col min="15618" max="15618" width="54.625" customWidth="1"/>
    <col min="15620" max="15620" width="6.75" customWidth="1"/>
    <col min="15873" max="15873" width="33.875" customWidth="1"/>
    <col min="15874" max="15874" width="54.625" customWidth="1"/>
    <col min="15876" max="15876" width="6.75" customWidth="1"/>
    <col min="16129" max="16129" width="33.875" customWidth="1"/>
    <col min="16130" max="16130" width="54.625" customWidth="1"/>
    <col min="16132" max="16132" width="6.75" customWidth="1"/>
  </cols>
  <sheetData>
    <row r="1" spans="1:10" ht="20.25" customHeight="1">
      <c r="A1" t="s">
        <v>104</v>
      </c>
      <c r="B1" s="21" t="s">
        <v>224</v>
      </c>
    </row>
    <row r="3" spans="1:10" ht="41.25" customHeight="1">
      <c r="A3" s="131" t="s">
        <v>225</v>
      </c>
      <c r="B3" s="7" t="s">
        <v>174</v>
      </c>
      <c r="E3" s="124"/>
      <c r="F3" s="124"/>
      <c r="G3" s="124"/>
      <c r="H3" s="124"/>
      <c r="I3" s="124"/>
      <c r="J3" s="124"/>
    </row>
    <row r="4" spans="1:10" ht="41.25" customHeight="1">
      <c r="A4" s="121" t="s">
        <v>78</v>
      </c>
      <c r="B4" s="7" t="s">
        <v>113</v>
      </c>
      <c r="E4" s="124"/>
      <c r="F4" s="124"/>
      <c r="G4" s="124"/>
      <c r="H4" s="124"/>
      <c r="I4" s="124"/>
      <c r="J4" s="124"/>
    </row>
    <row r="5" spans="1:10" ht="40.5">
      <c r="A5" s="121" t="s">
        <v>180</v>
      </c>
      <c r="B5" s="27" t="s">
        <v>23</v>
      </c>
      <c r="E5" s="124"/>
      <c r="F5" s="124"/>
      <c r="G5" s="124"/>
      <c r="H5" s="124"/>
      <c r="I5" s="124"/>
      <c r="J5" s="124"/>
    </row>
    <row r="6" spans="1:10" ht="27">
      <c r="A6" s="121" t="s">
        <v>172</v>
      </c>
      <c r="B6" s="27" t="s">
        <v>226</v>
      </c>
      <c r="E6" s="124"/>
      <c r="F6" s="124"/>
      <c r="G6" s="124"/>
      <c r="H6" s="124"/>
      <c r="I6" s="124"/>
      <c r="J6" s="124"/>
    </row>
    <row r="7" spans="1:10" ht="41.25" customHeight="1">
      <c r="A7" s="121" t="s">
        <v>47</v>
      </c>
      <c r="B7" s="7" t="s">
        <v>227</v>
      </c>
    </row>
    <row r="8" spans="1:10" ht="41.25" customHeight="1">
      <c r="A8" s="121" t="s">
        <v>229</v>
      </c>
      <c r="B8" s="7" t="s">
        <v>18</v>
      </c>
    </row>
    <row r="9" spans="1:10" ht="41.25" customHeight="1">
      <c r="A9" s="121" t="s">
        <v>175</v>
      </c>
      <c r="B9" s="7" t="s">
        <v>30</v>
      </c>
    </row>
    <row r="10" spans="1:10" ht="41.25" customHeight="1">
      <c r="A10" s="121"/>
      <c r="B10" s="7"/>
    </row>
    <row r="11" spans="1:10" ht="41.25" customHeight="1">
      <c r="A11" s="125" t="s">
        <v>107</v>
      </c>
      <c r="B11" s="125"/>
    </row>
    <row r="12" spans="1:10" ht="21" customHeight="1">
      <c r="A12" s="132" t="s">
        <v>3</v>
      </c>
      <c r="B12" s="133"/>
    </row>
  </sheetData>
  <mergeCells count="6">
    <mergeCell ref="E3:J3"/>
    <mergeCell ref="E4:J4"/>
    <mergeCell ref="E5:J5"/>
    <mergeCell ref="E6:J6"/>
    <mergeCell ref="A11:B11"/>
    <mergeCell ref="A12:B12"/>
  </mergeCells>
  <phoneticPr fontId="1"/>
  <pageMargins left="0.7" right="0.7" top="0.75" bottom="0.7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参考様式一覧表</vt:lpstr>
      <vt:lpstr>【参考】BCP特別保証</vt:lpstr>
      <vt:lpstr>参考様式１</vt:lpstr>
      <vt:lpstr>参考様式２</vt:lpstr>
      <vt:lpstr>参考様式３</vt:lpstr>
      <vt:lpstr>参考様式４</vt:lpstr>
      <vt:lpstr>参考様式５</vt:lpstr>
      <vt:lpstr>参考様式６</vt:lpstr>
      <vt:lpstr>参考様式７</vt:lpstr>
      <vt:lpstr>参考様式８</vt:lpstr>
      <vt:lpstr>参考様式９</vt:lpstr>
      <vt:lpstr>参考様式１０</vt:lpstr>
      <vt:lpstr>参考様式１１</vt:lpstr>
      <vt:lpstr>参考様式１２</vt:lpstr>
      <vt:lpstr>DV-IDENTITY-0</vt:lpstr>
    </vt:vector>
  </TitlesOfParts>
  <Company>Microsoft</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宮角良介</dc:creator>
  <cp:lastModifiedBy>深澤　克友</cp:lastModifiedBy>
  <cp:lastPrinted>2023-02-22T00:42:31Z</cp:lastPrinted>
  <dcterms:created xsi:type="dcterms:W3CDTF">2011-10-29T11:43:04Z</dcterms:created>
  <dcterms:modified xsi:type="dcterms:W3CDTF">2024-02-08T01:11:50Z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Google.Documents.DocumentId">
    <vt:lpwstr>1vCkAqKkRcM-Pd-79fRALem8b6XX-E48bOIpsoP9ptoE</vt:lpwstr>
  </property>
  <property fmtid="{D5CDD505-2E9C-101B-9397-08002B2CF9AE}" pid="3" name="Google.Documents.MergeIncapabilityFlags">
    <vt:i4>0</vt:i4>
  </property>
  <property fmtid="{D5CDD505-2E9C-101B-9397-08002B2CF9AE}" pid="4" name="Google.Documents.PluginVersion">
    <vt:lpwstr>2.0.2424.7283</vt:lpwstr>
  </property>
  <property fmtid="{D5CDD505-2E9C-101B-9397-08002B2CF9AE}" pid="5" name="Google.Documents.RevisionId">
    <vt:lpwstr>04555561300577736954</vt:lpwstr>
  </property>
  <property fmtid="{D5CDD505-2E9C-101B-9397-08002B2CF9AE}" pid="6" name="Google.Documents.Tracking">
    <vt:lpwstr>true</vt:lpwstr>
  </property>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2024-02-08T01:11:50Z</vt:filetime>
  </property>
</Properties>
</file>