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625" yWindow="1170" windowWidth="16650" windowHeight="13980" activeTab="1"/>
  </bookViews>
  <sheets>
    <sheet name="表紙" sheetId="98" r:id="rId1"/>
    <sheet name="様式一覧表" sheetId="77" r:id="rId2"/>
    <sheet name="様式１" sheetId="51" r:id="rId3"/>
    <sheet name="様式２" sheetId="50" r:id="rId4"/>
    <sheet name="様式３" sheetId="48" r:id="rId5"/>
    <sheet name="様式４" sheetId="46" r:id="rId6"/>
    <sheet name="様式５" sheetId="70" r:id="rId7"/>
    <sheet name="様式６" sheetId="52" r:id="rId8"/>
    <sheet name="様式６参考(タイムライン)" sheetId="97" r:id="rId9"/>
    <sheet name="様式７" sheetId="53" r:id="rId10"/>
    <sheet name="様式8" sheetId="54" r:id="rId11"/>
    <sheet name="様式９" sheetId="55" r:id="rId12"/>
    <sheet name="様式10" sheetId="56" r:id="rId13"/>
    <sheet name="様式11" sheetId="57" r:id="rId14"/>
    <sheet name="様式12" sheetId="58" r:id="rId15"/>
    <sheet name="様式13" sheetId="59" r:id="rId16"/>
    <sheet name="様式14" sheetId="60" r:id="rId17"/>
    <sheet name="様式15" sheetId="61" r:id="rId18"/>
    <sheet name="DV-IDENTITY-0" sheetId="34" state="veryHidden" r:id="rId19"/>
  </sheets>
  <definedNames>
    <definedName name="_xlnm.Print_Area" localSheetId="5">様式４!$A$1:$J$22</definedName>
    <definedName name="_xlnm.Print_Area" localSheetId="4">様式３!$A$1:$AY$57</definedName>
    <definedName name="_xlnm.Print_Area" localSheetId="3">様式２!$A$1:$G$5</definedName>
    <definedName name="_xlnm.Print_Area" localSheetId="2">様式１!$A$1:$A$9</definedName>
    <definedName name="_xlnm.Print_Area" localSheetId="9">様式７!$A$1:$K$87</definedName>
    <definedName name="_xlnm.Print_Area" localSheetId="10">様式8!$A$1:$E$38</definedName>
    <definedName name="_xlnm.Print_Area" localSheetId="11">様式９!$A$1:$I$21</definedName>
    <definedName name="_xlnm.Print_Area" localSheetId="12">様式10!$A$1:$I$8</definedName>
    <definedName name="_xlnm.Print_Area" localSheetId="13">様式11!$A$1:$I$30</definedName>
    <definedName name="_xlnm.Print_Area" localSheetId="14">様式12!$A$1:$P$22</definedName>
    <definedName name="_xlnm.Print_Area" localSheetId="15">様式13!$A$1:$M$11</definedName>
    <definedName name="_xlnm.Print_Area" localSheetId="16">様式14!$A$1:$N$13</definedName>
    <definedName name="_xlnm.Print_Area" localSheetId="17">様式15!$A$1:$D$13</definedName>
    <definedName name="_xlnm.Print_Area" localSheetId="6">様式５!$A$1:$H$40</definedName>
    <definedName name="_xlnm.Print_Titles" localSheetId="6">様式５!$6:$6</definedName>
    <definedName name="_xlnm.Print_Area" localSheetId="1">様式一覧表!$A$1:$G$16</definedName>
    <definedName name="_xlnm.Print_Area" localSheetId="0">表紙!$A$1:$J$52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<sst xmlns="http://schemas.openxmlformats.org/spreadsheetml/2006/main" xmlns:r="http://schemas.openxmlformats.org/officeDocument/2006/relationships" count="585" uniqueCount="585">
  <si>
    <t>建物・設備</t>
    <rPh sb="0" eb="2">
      <t>タテモノ</t>
    </rPh>
    <rPh sb="3" eb="5">
      <t>セツビ</t>
    </rPh>
    <phoneticPr fontId="1"/>
  </si>
  <si>
    <t>当面通行禁止</t>
    <rPh sb="0" eb="2">
      <t>トウメン</t>
    </rPh>
    <rPh sb="2" eb="6">
      <t>ツウコウキンシ</t>
    </rPh>
    <phoneticPr fontId="1"/>
  </si>
  <si>
    <t>AAAAAHu9dJI=</t>
  </si>
  <si>
    <t>氏名</t>
    <rPh sb="0" eb="2">
      <t>シメイ</t>
    </rPh>
    <phoneticPr fontId="1"/>
  </si>
  <si>
    <t>様式１２　　事前対策の実施計画管理表　</t>
    <rPh sb="0" eb="2">
      <t>ヨウシキ</t>
    </rPh>
    <rPh sb="6" eb="10">
      <t>ジゼンタイサク</t>
    </rPh>
    <rPh sb="11" eb="13">
      <t>ジッシ</t>
    </rPh>
    <rPh sb="13" eb="15">
      <t>ケイカク</t>
    </rPh>
    <rPh sb="15" eb="17">
      <t>カンリ</t>
    </rPh>
    <rPh sb="17" eb="18">
      <t>ヒョウ</t>
    </rPh>
    <phoneticPr fontId="1"/>
  </si>
  <si>
    <t>具体的資源名</t>
    <rPh sb="0" eb="3">
      <t>グタイテキ</t>
    </rPh>
    <rPh sb="3" eb="5">
      <t>シゲン</t>
    </rPh>
    <rPh sb="5" eb="6">
      <t>メイ</t>
    </rPh>
    <phoneticPr fontId="1"/>
  </si>
  <si>
    <t>製品
原材料
資材</t>
    <rPh sb="0" eb="2">
      <t>セイヒン</t>
    </rPh>
    <rPh sb="3" eb="6">
      <t>ゲンザイリョウ</t>
    </rPh>
    <rPh sb="7" eb="9">
      <t>シザイ</t>
    </rPh>
    <phoneticPr fontId="1"/>
  </si>
  <si>
    <t>建物・施設（自社で確保、支援企業から貸与、協力企業で実施・・・・）</t>
    <rPh sb="0" eb="2">
      <t>タテモノ</t>
    </rPh>
    <rPh sb="3" eb="5">
      <t>シセツ</t>
    </rPh>
    <rPh sb="12" eb="16">
      <t>シエンキギョウ</t>
    </rPh>
    <rPh sb="18" eb="20">
      <t>タイヨ</t>
    </rPh>
    <rPh sb="21" eb="25">
      <t>キョウリョクキギョウ</t>
    </rPh>
    <rPh sb="26" eb="28">
      <t>ジッシ</t>
    </rPh>
    <phoneticPr fontId="1"/>
  </si>
  <si>
    <t>　インフラ被害状況（電気、ガス、水道、下水道、通信・・）</t>
    <rPh sb="5" eb="9">
      <t>ヒガイジョウキョウ</t>
    </rPh>
    <rPh sb="10" eb="12">
      <t>デンキ</t>
    </rPh>
    <rPh sb="16" eb="18">
      <t>スイドウ</t>
    </rPh>
    <rPh sb="19" eb="22">
      <t>ゲスイドウ</t>
    </rPh>
    <rPh sb="23" eb="25">
      <t>ツウシン</t>
    </rPh>
    <phoneticPr fontId="1"/>
  </si>
  <si>
    <t>国・県等の低利融資制度など</t>
    <rPh sb="0" eb="1">
      <t>クニ</t>
    </rPh>
    <rPh sb="2" eb="4">
      <t>ケントウ</t>
    </rPh>
    <rPh sb="5" eb="9">
      <t>テイリユウシ</t>
    </rPh>
    <rPh sb="9" eb="11">
      <t>セイド</t>
    </rPh>
    <phoneticPr fontId="1"/>
  </si>
  <si>
    <t>資源分類</t>
    <rPh sb="0" eb="2">
      <t>シゲン</t>
    </rPh>
    <rPh sb="2" eb="4">
      <t>ブンルイ</t>
    </rPh>
    <phoneticPr fontId="1"/>
  </si>
  <si>
    <t>地震保険</t>
    <rPh sb="0" eb="4">
      <t>ジシンホケン</t>
    </rPh>
    <phoneticPr fontId="1"/>
  </si>
  <si>
    <t>管理・識別が行いやすい対策名称）</t>
    <rPh sb="0" eb="2">
      <t>カンリ</t>
    </rPh>
    <rPh sb="3" eb="5">
      <t>シキベツ</t>
    </rPh>
    <rPh sb="6" eb="7">
      <t>オコナ</t>
    </rPh>
    <rPh sb="11" eb="13">
      <t>タイサク</t>
    </rPh>
    <rPh sb="13" eb="15">
      <t>メイショウ</t>
    </rPh>
    <phoneticPr fontId="1"/>
  </si>
  <si>
    <t>着手日</t>
    <rPh sb="0" eb="2">
      <t>チャクシュ</t>
    </rPh>
    <rPh sb="2" eb="3">
      <t>ビ</t>
    </rPh>
    <phoneticPr fontId="1"/>
  </si>
  <si>
    <t>設備・
機械　</t>
    <rPh sb="0" eb="2">
      <t>セツビ</t>
    </rPh>
    <rPh sb="4" eb="6">
      <t>キカイ</t>
    </rPh>
    <phoneticPr fontId="1"/>
  </si>
  <si>
    <t>ヒト</t>
  </si>
  <si>
    <t>項目（対策名称）</t>
    <rPh sb="0" eb="2">
      <t>コウモク</t>
    </rPh>
    <rPh sb="3" eb="7">
      <t>タイサクメイショウ</t>
    </rPh>
    <phoneticPr fontId="1"/>
  </si>
  <si>
    <t>情報</t>
    <rPh sb="0" eb="2">
      <t>ジョウホウ</t>
    </rPh>
    <phoneticPr fontId="1"/>
  </si>
  <si>
    <t>実施期間</t>
    <rPh sb="0" eb="2">
      <t>ジッシ</t>
    </rPh>
    <rPh sb="2" eb="4">
      <t>キカン</t>
    </rPh>
    <phoneticPr fontId="1"/>
  </si>
  <si>
    <t>経営判断の目標時間：顧客等の関係から、顧客が他社に乗り換える、あるいは納品を我慢してくれる許容時間を記入</t>
    <rPh sb="0" eb="4">
      <t>ケイエイハンダン</t>
    </rPh>
    <rPh sb="5" eb="7">
      <t>モクヒョウ</t>
    </rPh>
    <rPh sb="7" eb="9">
      <t>ジカン</t>
    </rPh>
    <rPh sb="10" eb="12">
      <t>コキャク</t>
    </rPh>
    <rPh sb="12" eb="13">
      <t>トウ</t>
    </rPh>
    <rPh sb="14" eb="16">
      <t>カンケイ</t>
    </rPh>
    <rPh sb="19" eb="21">
      <t>コキャク</t>
    </rPh>
    <rPh sb="22" eb="24">
      <t>タシャ</t>
    </rPh>
    <rPh sb="25" eb="26">
      <t>ノ</t>
    </rPh>
    <rPh sb="27" eb="28">
      <t>カ</t>
    </rPh>
    <rPh sb="35" eb="37">
      <t>ノウヒン</t>
    </rPh>
    <rPh sb="38" eb="40">
      <t>ガマン</t>
    </rPh>
    <rPh sb="45" eb="47">
      <t>キョヨウ</t>
    </rPh>
    <rPh sb="47" eb="49">
      <t>ジカン</t>
    </rPh>
    <rPh sb="50" eb="52">
      <t>キニュウ</t>
    </rPh>
    <phoneticPr fontId="26"/>
  </si>
  <si>
    <t>その他</t>
    <rPh sb="2" eb="3">
      <t>タ</t>
    </rPh>
    <phoneticPr fontId="1"/>
  </si>
  <si>
    <t>担当</t>
    <rPh sb="0" eb="2">
      <t>タントウ</t>
    </rPh>
    <phoneticPr fontId="1"/>
  </si>
  <si>
    <t>使えるリソースなども考慮し、BCM方針(2.02）やリソースの代替方針（3.04）を</t>
    <rPh sb="0" eb="1">
      <t>ツカ</t>
    </rPh>
    <rPh sb="10" eb="12">
      <t>コウリョ</t>
    </rPh>
    <rPh sb="17" eb="19">
      <t>ホウシン</t>
    </rPh>
    <rPh sb="31" eb="33">
      <t>ダイガエ</t>
    </rPh>
    <rPh sb="33" eb="35">
      <t>ホウシン</t>
    </rPh>
    <phoneticPr fontId="1"/>
  </si>
  <si>
    <t>業務名</t>
    <rPh sb="0" eb="3">
      <t>ギョウムメイ</t>
    </rPh>
    <phoneticPr fontId="1"/>
  </si>
  <si>
    <t>事業継続への影響度</t>
    <rPh sb="0" eb="2">
      <t>ジギョウ</t>
    </rPh>
    <rPh sb="2" eb="4">
      <t>ケイゾク</t>
    </rPh>
    <rPh sb="6" eb="9">
      <t>エイキョウド</t>
    </rPh>
    <phoneticPr fontId="1"/>
  </si>
  <si>
    <t>保守パーツ有無</t>
    <rPh sb="0" eb="2">
      <t>ホシュ</t>
    </rPh>
    <rPh sb="5" eb="7">
      <t>ウム</t>
    </rPh>
    <phoneticPr fontId="1"/>
  </si>
  <si>
    <t>脅威の想定・程度</t>
    <rPh sb="0" eb="2">
      <t>キョウイ</t>
    </rPh>
    <rPh sb="3" eb="5">
      <t>ソウテイ</t>
    </rPh>
    <rPh sb="6" eb="8">
      <t>テイド</t>
    </rPh>
    <phoneticPr fontId="1"/>
  </si>
  <si>
    <t>・重要業務に必要で、現地復旧の可能性のある資源や極力自力で復旧対応を行いたい資源を洗い出す</t>
    <rPh sb="1" eb="5">
      <t>ジュウヨウギョウム</t>
    </rPh>
    <rPh sb="6" eb="8">
      <t>ヒツヨウ</t>
    </rPh>
    <rPh sb="10" eb="14">
      <t>ゲンチフッキュウ</t>
    </rPh>
    <rPh sb="15" eb="18">
      <t>カノウセイ</t>
    </rPh>
    <rPh sb="21" eb="23">
      <t>シゲン</t>
    </rPh>
    <rPh sb="24" eb="26">
      <t>キョクリョク</t>
    </rPh>
    <rPh sb="26" eb="28">
      <t>ジリキ</t>
    </rPh>
    <rPh sb="29" eb="33">
      <t>フッキュウタイオウ</t>
    </rPh>
    <rPh sb="34" eb="35">
      <t>オコナ</t>
    </rPh>
    <rPh sb="38" eb="40">
      <t>シゲン</t>
    </rPh>
    <rPh sb="41" eb="42">
      <t>アラ</t>
    </rPh>
    <rPh sb="43" eb="44">
      <t>ダ</t>
    </rPh>
    <phoneticPr fontId="1"/>
  </si>
  <si>
    <t>資金繰り</t>
    <rPh sb="0" eb="3">
      <t>シキング</t>
    </rPh>
    <phoneticPr fontId="26"/>
  </si>
  <si>
    <t>修理依頼状況</t>
    <rPh sb="0" eb="4">
      <t>シュウリイライ</t>
    </rPh>
    <rPh sb="4" eb="6">
      <t>ジョウキョウ</t>
    </rPh>
    <phoneticPr fontId="1"/>
  </si>
  <si>
    <t>②建物被害状況</t>
    <rPh sb="1" eb="3">
      <t>タテモノ</t>
    </rPh>
    <rPh sb="3" eb="7">
      <t>ヒガイジョウキョウ</t>
    </rPh>
    <phoneticPr fontId="1"/>
  </si>
  <si>
    <t>BCMの基本方針</t>
    <rPh sb="4" eb="8">
      <t>キホンホウシン</t>
    </rPh>
    <phoneticPr fontId="1"/>
  </si>
  <si>
    <t>優先再開業務に関わるリソースの被害状況を把握</t>
    <rPh sb="0" eb="6">
      <t>ユウセンサイカイギョウム</t>
    </rPh>
    <rPh sb="7" eb="8">
      <t>カカ</t>
    </rPh>
    <rPh sb="15" eb="19">
      <t>ヒガイジョウキョウ</t>
    </rPh>
    <rPh sb="20" eb="22">
      <t>ハアク</t>
    </rPh>
    <phoneticPr fontId="1"/>
  </si>
  <si>
    <r>
      <t>参考：タイムライン【予測可能型】　超大型台風、</t>
    </r>
    <r>
      <rPr>
        <b/>
        <sz val="11"/>
        <color theme="1"/>
        <rFont val="ＭＳ Ｐゴシック"/>
      </rPr>
      <t>線状降水帯、豪雪　</t>
    </r>
    <rPh sb="0" eb="2">
      <t>サンコウ</t>
    </rPh>
    <rPh sb="10" eb="12">
      <t>ヨソク</t>
    </rPh>
    <rPh sb="12" eb="15">
      <t>カノウガタ</t>
    </rPh>
    <phoneticPr fontId="1"/>
  </si>
  <si>
    <t>考慮点</t>
    <rPh sb="0" eb="3">
      <t>コウリョテン</t>
    </rPh>
    <phoneticPr fontId="1"/>
  </si>
  <si>
    <t>課題</t>
    <rPh sb="0" eb="2">
      <t>カダイ</t>
    </rPh>
    <phoneticPr fontId="1"/>
  </si>
  <si>
    <t>３．補足事項</t>
    <rPh sb="2" eb="4">
      <t>ホソク</t>
    </rPh>
    <rPh sb="4" eb="6">
      <t>ジコウ</t>
    </rPh>
    <phoneticPr fontId="1"/>
  </si>
  <si>
    <t>県道</t>
    <rPh sb="0" eb="1">
      <t>ケン</t>
    </rPh>
    <rPh sb="1" eb="2">
      <t>ドウ</t>
    </rPh>
    <phoneticPr fontId="1"/>
  </si>
  <si>
    <t>補足コメント</t>
    <rPh sb="0" eb="2">
      <t>ホソク</t>
    </rPh>
    <phoneticPr fontId="1"/>
  </si>
  <si>
    <t>必要ツール</t>
    <rPh sb="0" eb="2">
      <t>ヒツヨウ</t>
    </rPh>
    <phoneticPr fontId="1"/>
  </si>
  <si>
    <t>事業継続力の評価・見直し・改善</t>
    <rPh sb="0" eb="5">
      <t>ジギョウケイゾクリョク</t>
    </rPh>
    <rPh sb="6" eb="8">
      <t>ヒョウカ</t>
    </rPh>
    <rPh sb="9" eb="11">
      <t>ミナオ</t>
    </rPh>
    <rPh sb="13" eb="15">
      <t>カイゼン</t>
    </rPh>
    <phoneticPr fontId="1"/>
  </si>
  <si>
    <t>０時間</t>
    <rPh sb="1" eb="3">
      <t>ジカン</t>
    </rPh>
    <phoneticPr fontId="1"/>
  </si>
  <si>
    <t>情報システム</t>
    <rPh sb="0" eb="2">
      <t>ジョウホウ</t>
    </rPh>
    <phoneticPr fontId="1"/>
  </si>
  <si>
    <t>原材料名</t>
    <rPh sb="0" eb="3">
      <t>ゲンザイリョウ</t>
    </rPh>
    <rPh sb="3" eb="4">
      <t>メイ</t>
    </rPh>
    <phoneticPr fontId="1"/>
  </si>
  <si>
    <t>【BCM評価・見直し・改善】</t>
    <rPh sb="4" eb="6">
      <t>ヒョウカ</t>
    </rPh>
    <rPh sb="7" eb="9">
      <t>ミナオ</t>
    </rPh>
    <rPh sb="11" eb="13">
      <t>カイゼン</t>
    </rPh>
    <phoneticPr fontId="1"/>
  </si>
  <si>
    <t>脅威</t>
    <rPh sb="0" eb="2">
      <t>キョウイ</t>
    </rPh>
    <phoneticPr fontId="1"/>
  </si>
  <si>
    <t>様式１　　BCMの基本方針</t>
    <rPh sb="0" eb="2">
      <t>ヨウシキ</t>
    </rPh>
    <phoneticPr fontId="1"/>
  </si>
  <si>
    <t>様式４ 脅威一覧と業務および自社経営資源への影響</t>
    <rPh sb="4" eb="6">
      <t>キョウイ</t>
    </rPh>
    <rPh sb="6" eb="8">
      <t>イチラン</t>
    </rPh>
    <rPh sb="9" eb="11">
      <t>ギョウム</t>
    </rPh>
    <rPh sb="14" eb="16">
      <t>ジシャ</t>
    </rPh>
    <rPh sb="16" eb="20">
      <t>ケイエイシゲン</t>
    </rPh>
    <rPh sb="22" eb="24">
      <t>エイキョウ</t>
    </rPh>
    <phoneticPr fontId="1"/>
  </si>
  <si>
    <t>従業員</t>
    <rPh sb="0" eb="3">
      <t>ジュウギョウイン</t>
    </rPh>
    <phoneticPr fontId="1"/>
  </si>
  <si>
    <t>（今後の対応へのコメント）</t>
    <rPh sb="1" eb="3">
      <t>コンゴ</t>
    </rPh>
    <rPh sb="4" eb="6">
      <t>タイオウ</t>
    </rPh>
    <phoneticPr fontId="1"/>
  </si>
  <si>
    <t>売上への影響</t>
    <rPh sb="0" eb="2">
      <t>ウリアゲ</t>
    </rPh>
    <rPh sb="4" eb="6">
      <t>エイキョウ</t>
    </rPh>
    <phoneticPr fontId="26"/>
  </si>
  <si>
    <t>様式１４　　演習・訓練計画</t>
    <rPh sb="0" eb="2">
      <t>ヨウシキ</t>
    </rPh>
    <rPh sb="6" eb="8">
      <t>エンシュウ</t>
    </rPh>
    <rPh sb="9" eb="13">
      <t>クンレンケイカク</t>
    </rPh>
    <phoneticPr fontId="1"/>
  </si>
  <si>
    <t>BCMを最新状態に維持</t>
    <rPh sb="4" eb="6">
      <t>サイシン</t>
    </rPh>
    <rPh sb="6" eb="8">
      <t>ジョウタイ</t>
    </rPh>
    <rPh sb="9" eb="11">
      <t>イジ</t>
    </rPh>
    <phoneticPr fontId="1"/>
  </si>
  <si>
    <t>トップコメント</t>
  </si>
  <si>
    <t>社会的影響
・批判</t>
    <rPh sb="0" eb="3">
      <t>シャカイテキ</t>
    </rPh>
    <rPh sb="3" eb="5">
      <t>エイキョウ</t>
    </rPh>
    <rPh sb="7" eb="9">
      <t>ヒハン</t>
    </rPh>
    <phoneticPr fontId="26"/>
  </si>
  <si>
    <t>インフラ</t>
  </si>
  <si>
    <t>被害状況</t>
  </si>
  <si>
    <t>管理番号体系　　例：リソース分類＋年度＋４桁連番</t>
    <rPh sb="0" eb="6">
      <t>カンリバンゴウタイケイ</t>
    </rPh>
    <rPh sb="8" eb="9">
      <t>レイ</t>
    </rPh>
    <rPh sb="14" eb="16">
      <t>ブンルイ</t>
    </rPh>
    <rPh sb="17" eb="19">
      <t>ネンド</t>
    </rPh>
    <rPh sb="21" eb="22">
      <t>ケタ</t>
    </rPh>
    <rPh sb="22" eb="24">
      <t>レンバン</t>
    </rPh>
    <phoneticPr fontId="1"/>
  </si>
  <si>
    <t>対象脅威</t>
    <rPh sb="0" eb="4">
      <t>タイショウキョウイ</t>
    </rPh>
    <phoneticPr fontId="1"/>
  </si>
  <si>
    <t>課題対応計画</t>
    <rPh sb="0" eb="2">
      <t>カダイ</t>
    </rPh>
    <rPh sb="2" eb="4">
      <t>タイオウ</t>
    </rPh>
    <rPh sb="4" eb="6">
      <t>ケイカク</t>
    </rPh>
    <phoneticPr fontId="1"/>
  </si>
  <si>
    <t>教育手段</t>
  </si>
  <si>
    <t>資金</t>
    <rPh sb="0" eb="2">
      <t>シキン</t>
    </rPh>
    <phoneticPr fontId="1"/>
  </si>
  <si>
    <t>対象脅威</t>
    <rPh sb="0" eb="2">
      <t>タイショウ</t>
    </rPh>
    <rPh sb="2" eb="4">
      <t>キョウイ</t>
    </rPh>
    <phoneticPr fontId="1"/>
  </si>
  <si>
    <t>1.5時間前</t>
    <rPh sb="3" eb="6">
      <t>ジカンマエ</t>
    </rPh>
    <phoneticPr fontId="1"/>
  </si>
  <si>
    <t>必要備品</t>
    <rPh sb="0" eb="4">
      <t>ヒツヨウビヒン</t>
    </rPh>
    <phoneticPr fontId="1"/>
  </si>
  <si>
    <t>方法・手順</t>
    <rPh sb="0" eb="2">
      <t>ホウホウ</t>
    </rPh>
    <rPh sb="3" eb="5">
      <t>テジュン</t>
    </rPh>
    <phoneticPr fontId="1"/>
  </si>
  <si>
    <t>脅威による想定事象・被害</t>
    <rPh sb="0" eb="2">
      <t>キョウイ</t>
    </rPh>
    <rPh sb="5" eb="9">
      <t>ソウテイジショウ</t>
    </rPh>
    <rPh sb="10" eb="12">
      <t>ヒガイ</t>
    </rPh>
    <phoneticPr fontId="1"/>
  </si>
  <si>
    <t>建物名</t>
    <rPh sb="0" eb="3">
      <t>タテモノメイ</t>
    </rPh>
    <phoneticPr fontId="1"/>
  </si>
  <si>
    <t>＊</t>
  </si>
  <si>
    <t>利益への影響</t>
    <rPh sb="0" eb="2">
      <t>リエキ</t>
    </rPh>
    <rPh sb="4" eb="6">
      <t>エイキョウ</t>
    </rPh>
    <phoneticPr fontId="26"/>
  </si>
  <si>
    <t>危機状況補足</t>
    <rPh sb="0" eb="4">
      <t>キキジョウキョウ</t>
    </rPh>
    <rPh sb="4" eb="6">
      <t>ホソク</t>
    </rPh>
    <phoneticPr fontId="1"/>
  </si>
  <si>
    <t>本社事務</t>
    <rPh sb="0" eb="2">
      <t>ホンシャ</t>
    </rPh>
    <rPh sb="2" eb="4">
      <t>ジム</t>
    </rPh>
    <phoneticPr fontId="1"/>
  </si>
  <si>
    <t>得意先との関係</t>
    <rPh sb="0" eb="3">
      <t>トクイサキ</t>
    </rPh>
    <rPh sb="5" eb="7">
      <t>カンケイ</t>
    </rPh>
    <phoneticPr fontId="26"/>
  </si>
  <si>
    <t>直ぐにでも行うべきかを示す優先度</t>
    <rPh sb="0" eb="1">
      <t>ス</t>
    </rPh>
    <rPh sb="5" eb="6">
      <t>オコナ</t>
    </rPh>
    <rPh sb="11" eb="12">
      <t>シメ</t>
    </rPh>
    <rPh sb="13" eb="16">
      <t>ユウセンド</t>
    </rPh>
    <phoneticPr fontId="1"/>
  </si>
  <si>
    <t>災害協定対応</t>
    <rPh sb="0" eb="2">
      <t>サイガイ</t>
    </rPh>
    <rPh sb="2" eb="4">
      <t>キョウテイ</t>
    </rPh>
    <rPh sb="4" eb="6">
      <t>タイオウ</t>
    </rPh>
    <phoneticPr fontId="26"/>
  </si>
  <si>
    <t>実施時期</t>
    <rPh sb="0" eb="4">
      <t>ジッシジキ</t>
    </rPh>
    <phoneticPr fontId="1"/>
  </si>
  <si>
    <t>実施優先度</t>
    <rPh sb="0" eb="2">
      <t>ジッシ</t>
    </rPh>
    <rPh sb="2" eb="5">
      <t>ユウセンド</t>
    </rPh>
    <phoneticPr fontId="1"/>
  </si>
  <si>
    <t>重要度</t>
    <rPh sb="0" eb="3">
      <t>ジュウヨウド</t>
    </rPh>
    <phoneticPr fontId="26"/>
  </si>
  <si>
    <t>代替時の課題</t>
    <rPh sb="2" eb="3">
      <t>トキ</t>
    </rPh>
    <phoneticPr fontId="1"/>
  </si>
  <si>
    <t>保険会社</t>
    <rPh sb="0" eb="4">
      <t>ホケンガイシャ</t>
    </rPh>
    <phoneticPr fontId="1"/>
  </si>
  <si>
    <t>決定業務再開時期：他の評価項目別の時間を参考に、該当業務の再開時期を決定し、その時間を記入</t>
    <rPh sb="0" eb="2">
      <t>ケッテイ</t>
    </rPh>
    <rPh sb="2" eb="4">
      <t>ギョウム</t>
    </rPh>
    <rPh sb="4" eb="8">
      <t>サイカイジキ</t>
    </rPh>
    <rPh sb="9" eb="10">
      <t>タ</t>
    </rPh>
    <rPh sb="11" eb="15">
      <t>ヒョウカコウモク</t>
    </rPh>
    <rPh sb="15" eb="16">
      <t>ベツ</t>
    </rPh>
    <rPh sb="17" eb="19">
      <t>ジカン</t>
    </rPh>
    <rPh sb="20" eb="22">
      <t>サンコウ</t>
    </rPh>
    <rPh sb="24" eb="26">
      <t>ガイトウ</t>
    </rPh>
    <rPh sb="26" eb="28">
      <t>ギョウム</t>
    </rPh>
    <rPh sb="29" eb="33">
      <t>サイカイジキ</t>
    </rPh>
    <rPh sb="34" eb="36">
      <t>ケッテイ</t>
    </rPh>
    <rPh sb="40" eb="42">
      <t>ジカン</t>
    </rPh>
    <rPh sb="43" eb="45">
      <t>キニュウ</t>
    </rPh>
    <phoneticPr fontId="26"/>
  </si>
  <si>
    <t>　・復旧可能な資源は何かをあらかじめ整理しておく</t>
    <rPh sb="2" eb="4">
      <t>フッキュウ</t>
    </rPh>
    <rPh sb="4" eb="6">
      <t>カノウ</t>
    </rPh>
    <rPh sb="7" eb="9">
      <t>シゲン</t>
    </rPh>
    <rPh sb="10" eb="11">
      <t>ナニ</t>
    </rPh>
    <phoneticPr fontId="1"/>
  </si>
  <si>
    <t>連絡済数</t>
    <rPh sb="0" eb="2">
      <t>レンラク</t>
    </rPh>
    <rPh sb="2" eb="3">
      <t>ズ</t>
    </rPh>
    <rPh sb="3" eb="4">
      <t>スウ</t>
    </rPh>
    <phoneticPr fontId="1"/>
  </si>
  <si>
    <t>顧客要請の目標時間：顧客から強く要請されている、納品再開の許容時間</t>
    <rPh sb="0" eb="2">
      <t>コキャク</t>
    </rPh>
    <rPh sb="2" eb="4">
      <t>ヨウセイ</t>
    </rPh>
    <rPh sb="5" eb="7">
      <t>モクヒョウ</t>
    </rPh>
    <rPh sb="7" eb="9">
      <t>ジカン</t>
    </rPh>
    <rPh sb="10" eb="12">
      <t>コキャク</t>
    </rPh>
    <rPh sb="14" eb="15">
      <t>ツヨ</t>
    </rPh>
    <rPh sb="16" eb="18">
      <t>ヨウセイ</t>
    </rPh>
    <rPh sb="24" eb="26">
      <t>ノウヒン</t>
    </rPh>
    <rPh sb="26" eb="28">
      <t>サイカイ</t>
    </rPh>
    <rPh sb="29" eb="31">
      <t>キョヨウ</t>
    </rPh>
    <rPh sb="31" eb="33">
      <t>ジカン</t>
    </rPh>
    <phoneticPr fontId="26"/>
  </si>
  <si>
    <t>参加者所属・役職・氏名</t>
    <rPh sb="0" eb="3">
      <t>サンカシャ</t>
    </rPh>
    <rPh sb="3" eb="5">
      <t>ショゾク</t>
    </rPh>
    <rPh sb="6" eb="8">
      <t>ヤクショク</t>
    </rPh>
    <rPh sb="9" eb="11">
      <t>シメイ</t>
    </rPh>
    <phoneticPr fontId="1"/>
  </si>
  <si>
    <t>事業遂行への影響：　　あり　・　なし　・　不明</t>
    <rPh sb="21" eb="23">
      <t>フメイ</t>
    </rPh>
    <phoneticPr fontId="1"/>
  </si>
  <si>
    <t>売上停止対応期間：売上がゼロでも従業員を雇用し体制維持が可能な期間（最悪の事態とならない限界時間）</t>
    <rPh sb="0" eb="2">
      <t>ウリアゲ</t>
    </rPh>
    <rPh sb="2" eb="4">
      <t>テイシ</t>
    </rPh>
    <rPh sb="4" eb="6">
      <t>タイオウ</t>
    </rPh>
    <rPh sb="6" eb="8">
      <t>キカン</t>
    </rPh>
    <rPh sb="9" eb="11">
      <t>ウリアゲ</t>
    </rPh>
    <rPh sb="16" eb="19">
      <t>ジュウギョウインン</t>
    </rPh>
    <rPh sb="20" eb="22">
      <t>コヨウ</t>
    </rPh>
    <rPh sb="23" eb="25">
      <t>タイセイ</t>
    </rPh>
    <rPh sb="25" eb="27">
      <t>イジ</t>
    </rPh>
    <rPh sb="28" eb="30">
      <t>カノウ</t>
    </rPh>
    <rPh sb="31" eb="33">
      <t>キカン</t>
    </rPh>
    <rPh sb="34" eb="36">
      <t>サイアク</t>
    </rPh>
    <rPh sb="37" eb="39">
      <t>ジタイ</t>
    </rPh>
    <rPh sb="44" eb="46">
      <t>ゲンカイ</t>
    </rPh>
    <rPh sb="46" eb="48">
      <t>ジカン</t>
    </rPh>
    <phoneticPr fontId="26"/>
  </si>
  <si>
    <t>災害協定対応開始時間：行政や業界団体等から、災害時緊急出動として対応を開始する時間</t>
    <rPh sb="0" eb="2">
      <t>サイガイ</t>
    </rPh>
    <rPh sb="2" eb="4">
      <t>キョウテイ</t>
    </rPh>
    <rPh sb="4" eb="6">
      <t>タイオウ</t>
    </rPh>
    <rPh sb="6" eb="10">
      <t>カイシジカン</t>
    </rPh>
    <rPh sb="11" eb="13">
      <t>ギョウセイ</t>
    </rPh>
    <rPh sb="14" eb="19">
      <t>ギョウカイダンタイトウ</t>
    </rPh>
    <rPh sb="22" eb="25">
      <t>サイガイジ</t>
    </rPh>
    <rPh sb="25" eb="29">
      <t>キンキュウシュツドウ</t>
    </rPh>
    <rPh sb="32" eb="34">
      <t>タイオウ</t>
    </rPh>
    <rPh sb="35" eb="37">
      <t>カイシ</t>
    </rPh>
    <rPh sb="39" eb="41">
      <t>ジカン</t>
    </rPh>
    <phoneticPr fontId="26"/>
  </si>
  <si>
    <t>検討のポイントを</t>
    <rPh sb="0" eb="2">
      <t>ケントウ</t>
    </rPh>
    <phoneticPr fontId="1"/>
  </si>
  <si>
    <t>現状課題</t>
    <rPh sb="0" eb="4">
      <t>ゲンジョウカダイ</t>
    </rPh>
    <phoneticPr fontId="1"/>
  </si>
  <si>
    <t>業務名は、事業内容や売上構成、経営判断等により適宜設定してください</t>
    <rPh sb="0" eb="3">
      <t>ギョウムメイ</t>
    </rPh>
    <rPh sb="5" eb="9">
      <t>ジギョウナイヨウ</t>
    </rPh>
    <rPh sb="10" eb="14">
      <t>ウリアゲコウセイ</t>
    </rPh>
    <rPh sb="15" eb="20">
      <t>ケイエイハンダントウ</t>
    </rPh>
    <rPh sb="23" eb="25">
      <t>テキギ</t>
    </rPh>
    <rPh sb="25" eb="27">
      <t>セッテイ</t>
    </rPh>
    <phoneticPr fontId="1"/>
  </si>
  <si>
    <t>訓練区分</t>
    <rPh sb="0" eb="4">
      <t>クンレンクブン</t>
    </rPh>
    <phoneticPr fontId="1"/>
  </si>
  <si>
    <t>業務可否</t>
    <rPh sb="0" eb="4">
      <t>ギョウムカヒ</t>
    </rPh>
    <phoneticPr fontId="1"/>
  </si>
  <si>
    <t>重要度判定
（総合判断の順位、
or選定業務に◯）</t>
    <rPh sb="0" eb="3">
      <t>ジュウヨウド</t>
    </rPh>
    <rPh sb="3" eb="5">
      <t>ハンテイ</t>
    </rPh>
    <rPh sb="7" eb="11">
      <t>ソウゴウハンダン</t>
    </rPh>
    <rPh sb="12" eb="14">
      <t>ジュンイ</t>
    </rPh>
    <rPh sb="18" eb="20">
      <t>センテイ</t>
    </rPh>
    <rPh sb="20" eb="22">
      <t>ギョウム</t>
    </rPh>
    <phoneticPr fontId="26"/>
  </si>
  <si>
    <t>実施時期</t>
  </si>
  <si>
    <t>全業務復興方針</t>
    <rPh sb="0" eb="3">
      <t>ゼンギョウム</t>
    </rPh>
    <rPh sb="3" eb="5">
      <t>フッコウ</t>
    </rPh>
    <rPh sb="5" eb="7">
      <t>ホウシン</t>
    </rPh>
    <phoneticPr fontId="1"/>
  </si>
  <si>
    <t>立入可否</t>
    <rPh sb="0" eb="4">
      <t>タチイリカヒ</t>
    </rPh>
    <phoneticPr fontId="1"/>
  </si>
  <si>
    <t>今年度重点テーマへの
対応状況</t>
    <rPh sb="0" eb="3">
      <t>コンネンド</t>
    </rPh>
    <rPh sb="3" eb="5">
      <t>ジュウテン</t>
    </rPh>
    <rPh sb="11" eb="13">
      <t>タイオウ</t>
    </rPh>
    <rPh sb="13" eb="15">
      <t>ジョウキョウ</t>
    </rPh>
    <phoneticPr fontId="1"/>
  </si>
  <si>
    <t>危機状況</t>
    <rPh sb="0" eb="4">
      <t>キキジョウキョウ</t>
    </rPh>
    <phoneticPr fontId="1"/>
  </si>
  <si>
    <t>損害保険金</t>
    <rPh sb="0" eb="4">
      <t>ソンガイホケン</t>
    </rPh>
    <rPh sb="4" eb="5">
      <t>キン</t>
    </rPh>
    <phoneticPr fontId="1"/>
  </si>
  <si>
    <t>優先業務再開方針</t>
    <rPh sb="0" eb="4">
      <t>ユウセンギョウム</t>
    </rPh>
    <rPh sb="4" eb="6">
      <t>サイカイ</t>
    </rPh>
    <rPh sb="6" eb="8">
      <t>ホウシン</t>
    </rPh>
    <phoneticPr fontId="1"/>
  </si>
  <si>
    <t>状況</t>
    <rPh sb="0" eb="2">
      <t>ジョウキョウ</t>
    </rPh>
    <phoneticPr fontId="1"/>
  </si>
  <si>
    <t>顧客（市場）</t>
    <rPh sb="0" eb="2">
      <t>コキャク</t>
    </rPh>
    <rPh sb="3" eb="5">
      <t>シジョウ</t>
    </rPh>
    <phoneticPr fontId="1"/>
  </si>
  <si>
    <t>業務再開計画</t>
    <rPh sb="0" eb="2">
      <t>ギョウム</t>
    </rPh>
    <rPh sb="2" eb="4">
      <t>サイカイ</t>
    </rPh>
    <rPh sb="4" eb="6">
      <t>ケイカク</t>
    </rPh>
    <phoneticPr fontId="1"/>
  </si>
  <si>
    <t>１．BCMの目的</t>
    <rPh sb="6" eb="8">
      <t>モクテキ</t>
    </rPh>
    <phoneticPr fontId="1"/>
  </si>
  <si>
    <t>重要原材料の場合</t>
    <rPh sb="0" eb="2">
      <t>ジュウヨウ</t>
    </rPh>
    <rPh sb="2" eb="5">
      <t>ゲンザイリョウ</t>
    </rPh>
    <rPh sb="6" eb="8">
      <t>バアイ</t>
    </rPh>
    <phoneticPr fontId="1"/>
  </si>
  <si>
    <t>２．BCMの基本方針</t>
    <rPh sb="6" eb="10">
      <t>キホンホウシン</t>
    </rPh>
    <phoneticPr fontId="1"/>
  </si>
  <si>
    <t>成果目標</t>
    <rPh sb="0" eb="4">
      <t>セイカモクヒョウ</t>
    </rPh>
    <phoneticPr fontId="1"/>
  </si>
  <si>
    <t>事前対策</t>
    <rPh sb="0" eb="4">
      <t>ジゼンタイサク</t>
    </rPh>
    <phoneticPr fontId="1"/>
  </si>
  <si>
    <t>報告ルール</t>
    <rPh sb="0" eb="2">
      <t>ホウコク</t>
    </rPh>
    <phoneticPr fontId="1"/>
  </si>
  <si>
    <t>検討実施日　　　　年　　月　　日</t>
    <rPh sb="0" eb="2">
      <t>ケントウ</t>
    </rPh>
    <rPh sb="2" eb="4">
      <t>ジッシ</t>
    </rPh>
    <rPh sb="4" eb="5">
      <t>ビ</t>
    </rPh>
    <rPh sb="9" eb="10">
      <t>ネン</t>
    </rPh>
    <rPh sb="12" eb="13">
      <t>ツキ</t>
    </rPh>
    <rPh sb="15" eb="16">
      <t>ヒ</t>
    </rPh>
    <phoneticPr fontId="26"/>
  </si>
  <si>
    <t>被災状況報告（第２報）　原則48時間以内に報告</t>
    <rPh sb="0" eb="1">
      <t>ダイ</t>
    </rPh>
    <rPh sb="7" eb="8">
      <t xml:space="preserve">  </t>
    </rPh>
    <rPh sb="9" eb="10">
      <t/>
    </rPh>
    <phoneticPr fontId="1"/>
  </si>
  <si>
    <t>情報共有方法</t>
    <rPh sb="0" eb="6">
      <t>ジョウホウキョウユウホウホウ</t>
    </rPh>
    <phoneticPr fontId="1"/>
  </si>
  <si>
    <t>体制</t>
    <rPh sb="0" eb="2">
      <t>タイセイ</t>
    </rPh>
    <phoneticPr fontId="1"/>
  </si>
  <si>
    <t>特殊技能者・重要資格保有者</t>
    <rPh sb="0" eb="2">
      <t>トクシュ</t>
    </rPh>
    <rPh sb="2" eb="5">
      <t>ギノウシャ</t>
    </rPh>
    <rPh sb="6" eb="8">
      <t>ジュウヨウ</t>
    </rPh>
    <rPh sb="8" eb="13">
      <t>シカクホユウシャ</t>
    </rPh>
    <phoneticPr fontId="1"/>
  </si>
  <si>
    <t>インフラ名</t>
    <rPh sb="4" eb="5">
      <t>メイ</t>
    </rPh>
    <phoneticPr fontId="1"/>
  </si>
  <si>
    <t>様式７　　被災状況の把握</t>
    <rPh sb="0" eb="2">
      <t>ヨウシキ</t>
    </rPh>
    <rPh sb="5" eb="9">
      <t>ヒサイジョウキョウ</t>
    </rPh>
    <rPh sb="10" eb="12">
      <t>ハアク</t>
    </rPh>
    <phoneticPr fontId="1"/>
  </si>
  <si>
    <t>被災状況</t>
    <rPh sb="0" eb="4">
      <t>ヒサイジョウキョウ</t>
    </rPh>
    <phoneticPr fontId="1"/>
  </si>
  <si>
    <t>支援環境整備項目</t>
    <rPh sb="0" eb="6">
      <t>シエンカンキョウセイビ</t>
    </rPh>
    <rPh sb="6" eb="8">
      <t>コウモク</t>
    </rPh>
    <phoneticPr fontId="1"/>
  </si>
  <si>
    <t>壁にひび</t>
    <rPh sb="0" eb="1">
      <t>カベ</t>
    </rPh>
    <phoneticPr fontId="1"/>
  </si>
  <si>
    <t>提供媒体</t>
  </si>
  <si>
    <t>必要費用（教材費、講師料、購入備品など）</t>
    <rPh sb="0" eb="4">
      <t>ヒツヨウヒヨウ</t>
    </rPh>
    <rPh sb="5" eb="8">
      <t>キョウザイヒ</t>
    </rPh>
    <rPh sb="9" eb="11">
      <t>コウシ</t>
    </rPh>
    <rPh sb="11" eb="12">
      <t>リョウ</t>
    </rPh>
    <rPh sb="13" eb="15">
      <t>コウニュウ</t>
    </rPh>
    <rPh sb="15" eb="17">
      <t>ビヒン</t>
    </rPh>
    <phoneticPr fontId="1"/>
  </si>
  <si>
    <t>屋根破損</t>
    <rPh sb="0" eb="2">
      <t>ヤネ</t>
    </rPh>
    <rPh sb="2" eb="4">
      <t>ハソン</t>
    </rPh>
    <phoneticPr fontId="1"/>
  </si>
  <si>
    <t>周囲の状況</t>
  </si>
  <si>
    <t>建物・設備等の被害状況：　　あり　・　なし　・　調査中</t>
    <rPh sb="24" eb="27">
      <t>チョウサチュウ</t>
    </rPh>
    <phoneticPr fontId="1"/>
  </si>
  <si>
    <t>火災発生の有無</t>
    <rPh sb="0" eb="4">
      <t>カサイハッセイ</t>
    </rPh>
    <rPh sb="5" eb="7">
      <t>ウム</t>
    </rPh>
    <phoneticPr fontId="1"/>
  </si>
  <si>
    <t>人数</t>
    <rPh sb="0" eb="2">
      <t>ニンズウ</t>
    </rPh>
    <phoneticPr fontId="1"/>
  </si>
  <si>
    <t>　売上補填保険</t>
    <rPh sb="1" eb="3">
      <t>ウリアゲ</t>
    </rPh>
    <rPh sb="3" eb="5">
      <t>ホテン</t>
    </rPh>
    <rPh sb="5" eb="7">
      <t>ホケン</t>
    </rPh>
    <phoneticPr fontId="1"/>
  </si>
  <si>
    <t>けがの程度</t>
    <rPh sb="3" eb="5">
      <t>テイド</t>
    </rPh>
    <phoneticPr fontId="1"/>
  </si>
  <si>
    <t>目的</t>
  </si>
  <si>
    <t>無事</t>
    <rPh sb="0" eb="2">
      <t>ブジ</t>
    </rPh>
    <phoneticPr fontId="1"/>
  </si>
  <si>
    <t>依頼業者</t>
    <rPh sb="0" eb="4">
      <t>イライギョウシャ</t>
    </rPh>
    <phoneticPr fontId="1"/>
  </si>
  <si>
    <t>２．目標再開時期（目標復旧時間）と操業度</t>
    <rPh sb="2" eb="4">
      <t>モクヒョウ</t>
    </rPh>
    <rPh sb="4" eb="6">
      <t>サイカイ</t>
    </rPh>
    <rPh sb="6" eb="8">
      <t>ジキ</t>
    </rPh>
    <rPh sb="9" eb="11">
      <t>モクヒョウ</t>
    </rPh>
    <rPh sb="11" eb="15">
      <t>フッキュウジカン</t>
    </rPh>
    <rPh sb="17" eb="20">
      <t>ソウギョウド</t>
    </rPh>
    <phoneticPr fontId="26"/>
  </si>
  <si>
    <t>停電の有無</t>
    <rPh sb="0" eb="2">
      <t>テイデン</t>
    </rPh>
    <rPh sb="3" eb="5">
      <t>ウム</t>
    </rPh>
    <phoneticPr fontId="1"/>
  </si>
  <si>
    <t>携帯</t>
    <rPh sb="0" eb="2">
      <t>ケイタイ</t>
    </rPh>
    <phoneticPr fontId="1"/>
  </si>
  <si>
    <t>事務所内散乱</t>
    <rPh sb="0" eb="4">
      <t>ジムショナイ</t>
    </rPh>
    <rPh sb="4" eb="6">
      <t>サンラン</t>
    </rPh>
    <phoneticPr fontId="1"/>
  </si>
  <si>
    <t>リソース名</t>
    <rPh sb="4" eb="5">
      <t>メイ</t>
    </rPh>
    <phoneticPr fontId="1"/>
  </si>
  <si>
    <t>　近隣被災状況</t>
    <rPh sb="1" eb="3">
      <t>キンリン</t>
    </rPh>
    <rPh sb="3" eb="7">
      <t>ヒサイジョウキョウ</t>
    </rPh>
    <phoneticPr fontId="1"/>
  </si>
  <si>
    <t>工場内散乱</t>
    <rPh sb="0" eb="3">
      <t>コウジョウナイ</t>
    </rPh>
    <rPh sb="3" eb="5">
      <t>サンラン</t>
    </rPh>
    <phoneticPr fontId="1"/>
  </si>
  <si>
    <t>【被害状況の把握：速報編】</t>
    <rPh sb="1" eb="5">
      <t>ヒガイジョウキョウ</t>
    </rPh>
    <rPh sb="6" eb="8">
      <t>ハアク</t>
    </rPh>
    <rPh sb="9" eb="12">
      <t>ソクホウヘン</t>
    </rPh>
    <phoneticPr fontId="1"/>
  </si>
  <si>
    <t>自己資金</t>
    <rPh sb="0" eb="4">
      <t>ジコシキン</t>
    </rPh>
    <phoneticPr fontId="1"/>
  </si>
  <si>
    <t>　現・預金</t>
    <rPh sb="1" eb="2">
      <t>ゲン</t>
    </rPh>
    <rPh sb="3" eb="5">
      <t>ヨキン</t>
    </rPh>
    <phoneticPr fontId="1"/>
  </si>
  <si>
    <t>減災対策</t>
    <rPh sb="0" eb="2">
      <t>ゲンサイ</t>
    </rPh>
    <rPh sb="2" eb="4">
      <t>タイサク</t>
    </rPh>
    <phoneticPr fontId="1"/>
  </si>
  <si>
    <t>完了予定日</t>
    <rPh sb="0" eb="2">
      <t>カンリョウ</t>
    </rPh>
    <rPh sb="2" eb="4">
      <t>ヨテイ</t>
    </rPh>
    <rPh sb="4" eb="5">
      <t>ビ</t>
    </rPh>
    <phoneticPr fontId="1"/>
  </si>
  <si>
    <t>倉庫・ヤード</t>
    <rPh sb="0" eb="2">
      <t>ソウコ</t>
    </rPh>
    <phoneticPr fontId="1"/>
  </si>
  <si>
    <t>現地復旧実施計画表</t>
    <rPh sb="0" eb="4">
      <t>ゲンチフッキュウ</t>
    </rPh>
    <rPh sb="4" eb="6">
      <t>ジッシ</t>
    </rPh>
    <rPh sb="6" eb="9">
      <t>ケイカクヒョウ</t>
    </rPh>
    <phoneticPr fontId="1"/>
  </si>
  <si>
    <t>設計</t>
    <rPh sb="0" eb="2">
      <t>セッケイ</t>
    </rPh>
    <phoneticPr fontId="1"/>
  </si>
  <si>
    <t>　定期預金</t>
    <rPh sb="1" eb="5">
      <t>テイキヨキン</t>
    </rPh>
    <phoneticPr fontId="1"/>
  </si>
  <si>
    <t>③資材・仕掛・完成品等の被災状況</t>
    <rPh sb="1" eb="3">
      <t>シザイ</t>
    </rPh>
    <rPh sb="4" eb="6">
      <t>シカカリ</t>
    </rPh>
    <rPh sb="7" eb="10">
      <t>カンセイヒン</t>
    </rPh>
    <rPh sb="10" eb="11">
      <t>トウ</t>
    </rPh>
    <rPh sb="12" eb="16">
      <t>ヒサイジョウキョウ</t>
    </rPh>
    <phoneticPr fontId="1"/>
  </si>
  <si>
    <t>　自己調達可能資金</t>
    <rPh sb="1" eb="3">
      <t>ジコ</t>
    </rPh>
    <rPh sb="3" eb="9">
      <t>チョウタツカノウシキン</t>
    </rPh>
    <phoneticPr fontId="1"/>
  </si>
  <si>
    <t>役員</t>
    <rPh sb="0" eb="2">
      <t>ヤクイン</t>
    </rPh>
    <phoneticPr fontId="1"/>
  </si>
  <si>
    <t>品番・製品種</t>
    <rPh sb="0" eb="2">
      <t>ヒンバン</t>
    </rPh>
    <rPh sb="3" eb="6">
      <t>セイヒンシュ</t>
    </rPh>
    <phoneticPr fontId="1"/>
  </si>
  <si>
    <t>被害前
総人員</t>
    <rPh sb="0" eb="3">
      <t>ヒガイマエ</t>
    </rPh>
    <rPh sb="4" eb="7">
      <t>ソウジンイン</t>
    </rPh>
    <phoneticPr fontId="1"/>
  </si>
  <si>
    <t>融資による資金</t>
    <rPh sb="0" eb="2">
      <t>ユウシ</t>
    </rPh>
    <rPh sb="5" eb="7">
      <t>シキン</t>
    </rPh>
    <phoneticPr fontId="1"/>
  </si>
  <si>
    <t>火災保険</t>
    <rPh sb="0" eb="4">
      <t>カサイホケン</t>
    </rPh>
    <phoneticPr fontId="1"/>
  </si>
  <si>
    <t>　火災保険（地震特約）</t>
    <rPh sb="1" eb="5">
      <t>カサイホケン</t>
    </rPh>
    <rPh sb="6" eb="8">
      <t>ジシン</t>
    </rPh>
    <rPh sb="8" eb="10">
      <t>トクヤク</t>
    </rPh>
    <phoneticPr fontId="1"/>
  </si>
  <si>
    <t>　　優先業務遂行に関しての詳細報告</t>
    <rPh sb="2" eb="6">
      <t>ユウセンギョウム</t>
    </rPh>
    <rPh sb="6" eb="8">
      <t>スイコウ</t>
    </rPh>
    <rPh sb="9" eb="10">
      <t>カン</t>
    </rPh>
    <rPh sb="13" eb="17">
      <t>ショウサイホウコク</t>
    </rPh>
    <phoneticPr fontId="1"/>
  </si>
  <si>
    <t>　地震保険</t>
    <rPh sb="1" eb="5">
      <t>ジシンホケン</t>
    </rPh>
    <phoneticPr fontId="1"/>
  </si>
  <si>
    <t>国等の支援対策など</t>
    <rPh sb="0" eb="2">
      <t>クニトウ</t>
    </rPh>
    <rPh sb="3" eb="7">
      <t>シエンタイサク</t>
    </rPh>
    <phoneticPr fontId="1"/>
  </si>
  <si>
    <t>復旧方法/手順</t>
    <rPh sb="0" eb="2">
      <t>フッキュウ</t>
    </rPh>
    <rPh sb="2" eb="4">
      <t>ホウホウ</t>
    </rPh>
    <rPh sb="5" eb="7">
      <t>テジュン</t>
    </rPh>
    <phoneticPr fontId="1"/>
  </si>
  <si>
    <t>　グループ補助金</t>
    <rPh sb="5" eb="8">
      <t>ホジョキン</t>
    </rPh>
    <phoneticPr fontId="1"/>
  </si>
  <si>
    <t>教育による成果目標</t>
    <rPh sb="5" eb="7">
      <t>セイカ</t>
    </rPh>
    <rPh sb="7" eb="9">
      <t>モクヒョウ</t>
    </rPh>
    <phoneticPr fontId="1"/>
  </si>
  <si>
    <t>　けが人はいるか</t>
    <rPh sb="3" eb="4">
      <t>ニン</t>
    </rPh>
    <phoneticPr fontId="1"/>
  </si>
  <si>
    <t>受講タイミング目安</t>
  </si>
  <si>
    <t>損害保険加入内訳</t>
    <rPh sb="0" eb="2">
      <t>ソンガイ</t>
    </rPh>
    <rPh sb="2" eb="4">
      <t>ホケン</t>
    </rPh>
    <rPh sb="4" eb="8">
      <t>カニュウウチワケ</t>
    </rPh>
    <phoneticPr fontId="1"/>
  </si>
  <si>
    <t>　災害特別融資</t>
    <rPh sb="1" eb="7">
      <t>サイガイトクベツユウシ</t>
    </rPh>
    <phoneticPr fontId="1"/>
  </si>
  <si>
    <t>④その他詳細被害確認項目</t>
    <rPh sb="3" eb="4">
      <t>タ</t>
    </rPh>
    <rPh sb="4" eb="8">
      <t>ショウサイヒガイ</t>
    </rPh>
    <rPh sb="8" eb="10">
      <t>カクニン</t>
    </rPh>
    <rPh sb="10" eb="12">
      <t>コウモク</t>
    </rPh>
    <phoneticPr fontId="1"/>
  </si>
  <si>
    <t>災害特別保証</t>
    <rPh sb="0" eb="6">
      <t>サイガイトクベツホショウ</t>
    </rPh>
    <phoneticPr fontId="1"/>
  </si>
  <si>
    <t>・修理に必要となる専用の工具や器具を準備しておく</t>
    <rPh sb="1" eb="3">
      <t>シュウリ</t>
    </rPh>
    <rPh sb="4" eb="6">
      <t>ヒツヨウ</t>
    </rPh>
    <rPh sb="9" eb="11">
      <t>センヨウ</t>
    </rPh>
    <rPh sb="12" eb="14">
      <t>コウグ</t>
    </rPh>
    <rPh sb="15" eb="17">
      <t>キグ</t>
    </rPh>
    <rPh sb="18" eb="20">
      <t>ジュンビ</t>
    </rPh>
    <phoneticPr fontId="1"/>
  </si>
  <si>
    <t>事前対策資金</t>
    <rPh sb="0" eb="4">
      <t>ジゼンタイサク</t>
    </rPh>
    <rPh sb="4" eb="6">
      <t>シキン</t>
    </rPh>
    <phoneticPr fontId="1"/>
  </si>
  <si>
    <t>融資により調達</t>
    <rPh sb="0" eb="2">
      <t>ユウシ</t>
    </rPh>
    <rPh sb="5" eb="7">
      <t>チョウタツ</t>
    </rPh>
    <phoneticPr fontId="1"/>
  </si>
  <si>
    <t>災害対策助成金</t>
    <rPh sb="0" eb="2">
      <t>サイガイ</t>
    </rPh>
    <rPh sb="2" eb="4">
      <t>タイサク</t>
    </rPh>
    <rPh sb="4" eb="7">
      <t>ジョセイキン</t>
    </rPh>
    <phoneticPr fontId="1"/>
  </si>
  <si>
    <t>特に重要なリソースが長期間、機能しない場合の対応策として、現地復旧が困難</t>
    <rPh sb="0" eb="1">
      <t>トク</t>
    </rPh>
    <rPh sb="2" eb="4">
      <t>ジュウヨウ</t>
    </rPh>
    <rPh sb="10" eb="12">
      <t>チョウキ</t>
    </rPh>
    <rPh sb="12" eb="13">
      <t>カン</t>
    </rPh>
    <rPh sb="14" eb="16">
      <t>キノウ</t>
    </rPh>
    <rPh sb="19" eb="21">
      <t>バアイ</t>
    </rPh>
    <rPh sb="22" eb="25">
      <t>タイオウサク</t>
    </rPh>
    <rPh sb="29" eb="31">
      <t>ゲンチ</t>
    </rPh>
    <rPh sb="31" eb="33">
      <t>フッキュウ</t>
    </rPh>
    <rPh sb="34" eb="36">
      <t>コンナン</t>
    </rPh>
    <phoneticPr fontId="1"/>
  </si>
  <si>
    <t>様式９　　優先再開業務の再開計画策定</t>
    <rPh sb="0" eb="2">
      <t>ヨウシキ</t>
    </rPh>
    <rPh sb="5" eb="11">
      <t>ユウセンサイカイギョウム</t>
    </rPh>
    <rPh sb="12" eb="18">
      <t>サイカイケイカクサクテイ</t>
    </rPh>
    <phoneticPr fontId="1"/>
  </si>
  <si>
    <t>被災状況の把握・評価（事業再開の観点から）</t>
    <rPh sb="0" eb="4">
      <t>ヒサイジョウキョウ</t>
    </rPh>
    <rPh sb="5" eb="7">
      <t>ハアク</t>
    </rPh>
    <rPh sb="8" eb="10">
      <t>ヒョウカ</t>
    </rPh>
    <rPh sb="11" eb="15">
      <t>ジギョウサイカイ</t>
    </rPh>
    <rPh sb="16" eb="18">
      <t>カンテン</t>
    </rPh>
    <phoneticPr fontId="1"/>
  </si>
  <si>
    <t>訓練対象者、定員数</t>
    <rPh sb="0" eb="5">
      <t>クンレンタイショウシャ</t>
    </rPh>
    <rPh sb="6" eb="8">
      <t>テイイン</t>
    </rPh>
    <rPh sb="8" eb="9">
      <t>スウ</t>
    </rPh>
    <phoneticPr fontId="1"/>
  </si>
  <si>
    <t>軽微被災の場合の優先業務の再開計画</t>
    <rPh sb="0" eb="2">
      <t>ケイビ</t>
    </rPh>
    <rPh sb="2" eb="4">
      <t>ヒサイ</t>
    </rPh>
    <rPh sb="5" eb="7">
      <t>バアイ</t>
    </rPh>
    <rPh sb="8" eb="12">
      <t>ユウセンギョウム</t>
    </rPh>
    <rPh sb="13" eb="17">
      <t>サイカイケイカク</t>
    </rPh>
    <phoneticPr fontId="1"/>
  </si>
  <si>
    <t>甚大・壊滅被災の場合の優先業務の再開計画</t>
    <rPh sb="0" eb="2">
      <t>ジンダイ</t>
    </rPh>
    <rPh sb="3" eb="5">
      <t>カイメツ</t>
    </rPh>
    <rPh sb="5" eb="7">
      <t>ヒサイ</t>
    </rPh>
    <rPh sb="8" eb="10">
      <t>バアイ</t>
    </rPh>
    <rPh sb="11" eb="15">
      <t>ユウセンギョウム</t>
    </rPh>
    <rPh sb="16" eb="20">
      <t>サイカイケイカク</t>
    </rPh>
    <phoneticPr fontId="1"/>
  </si>
  <si>
    <t>ヒトの代替</t>
    <rPh sb="3" eb="5">
      <t>ダイガエ</t>
    </rPh>
    <phoneticPr fontId="1"/>
  </si>
  <si>
    <t>必要な仕様、条件</t>
    <rPh sb="0" eb="2">
      <t>ヒツヨウ</t>
    </rPh>
    <rPh sb="3" eb="5">
      <t>シヨウ</t>
    </rPh>
    <rPh sb="6" eb="8">
      <t>ジョウケン</t>
    </rPh>
    <phoneticPr fontId="1"/>
  </si>
  <si>
    <t>機器の代替</t>
    <rPh sb="0" eb="2">
      <t>キキ</t>
    </rPh>
    <rPh sb="3" eb="5">
      <t>ダイガエ</t>
    </rPh>
    <phoneticPr fontId="1"/>
  </si>
  <si>
    <t>概要</t>
    <rPh sb="0" eb="2">
      <t>ガイヨウ</t>
    </rPh>
    <phoneticPr fontId="1"/>
  </si>
  <si>
    <t>目標金額（千円）</t>
    <rPh sb="0" eb="2">
      <t>モクヒョウ</t>
    </rPh>
    <rPh sb="2" eb="4">
      <t>キンガク</t>
    </rPh>
    <rPh sb="5" eb="7">
      <t>センエン</t>
    </rPh>
    <phoneticPr fontId="1"/>
  </si>
  <si>
    <t>様式５　経営資源一覧と想定脅威への対応表</t>
    <rPh sb="0" eb="2">
      <t>ヨウシキ</t>
    </rPh>
    <phoneticPr fontId="1"/>
  </si>
  <si>
    <t>様式１３　　教育計画</t>
    <rPh sb="0" eb="2">
      <t>ヨウシキ</t>
    </rPh>
    <rPh sb="6" eb="8">
      <t>キョウイク</t>
    </rPh>
    <rPh sb="8" eb="10">
      <t>ケイカク</t>
    </rPh>
    <phoneticPr fontId="1"/>
  </si>
  <si>
    <t>報告者：</t>
  </si>
  <si>
    <t>教育分類</t>
    <rPh sb="0" eb="2">
      <t>キョウイク</t>
    </rPh>
    <rPh sb="2" eb="4">
      <t>ブンルイ</t>
    </rPh>
    <phoneticPr fontId="1"/>
  </si>
  <si>
    <t>売上見込みの５％を災害対策資金として予算措置する</t>
    <rPh sb="0" eb="4">
      <t>ウリアゲミコ</t>
    </rPh>
    <rPh sb="9" eb="15">
      <t>サイガイタイサクシキン</t>
    </rPh>
    <rPh sb="18" eb="22">
      <t>ヨサンソチ</t>
    </rPh>
    <phoneticPr fontId="1"/>
  </si>
  <si>
    <t>脅威一覧と業務及び自社経営資源への影響</t>
    <rPh sb="0" eb="2">
      <t>キョウイ</t>
    </rPh>
    <rPh sb="2" eb="4">
      <t>イチラン</t>
    </rPh>
    <rPh sb="5" eb="8">
      <t>ギョウムオヨ</t>
    </rPh>
    <rPh sb="9" eb="15">
      <t>ジシャケイエイシゲン</t>
    </rPh>
    <rPh sb="17" eb="19">
      <t>エイキョウ</t>
    </rPh>
    <phoneticPr fontId="1"/>
  </si>
  <si>
    <t>教育項目（科目名、テーマ、・・・・）</t>
  </si>
  <si>
    <t>・このような流れを該当する資源に応じた形で展開し、優先度を意識し、対応可能範囲を広げていく</t>
    <rPh sb="6" eb="7">
      <t>ナガ</t>
    </rPh>
    <rPh sb="9" eb="11">
      <t>ガイトウ</t>
    </rPh>
    <rPh sb="13" eb="15">
      <t>シゲン</t>
    </rPh>
    <rPh sb="16" eb="17">
      <t>オウ</t>
    </rPh>
    <rPh sb="19" eb="20">
      <t>カタチ</t>
    </rPh>
    <rPh sb="21" eb="23">
      <t>テンカイ</t>
    </rPh>
    <rPh sb="25" eb="28">
      <t>ユウセンド</t>
    </rPh>
    <rPh sb="29" eb="31">
      <t>イシキ</t>
    </rPh>
    <rPh sb="33" eb="35">
      <t>タイオウ</t>
    </rPh>
    <rPh sb="35" eb="37">
      <t>カノウ</t>
    </rPh>
    <rPh sb="37" eb="39">
      <t>ハンイ</t>
    </rPh>
    <rPh sb="40" eb="41">
      <t>ヒロ</t>
    </rPh>
    <phoneticPr fontId="1"/>
  </si>
  <si>
    <t>⑥主要仕入先・取引先企業の被災状況</t>
    <rPh sb="1" eb="3">
      <t>シュヨウ</t>
    </rPh>
    <rPh sb="3" eb="6">
      <t>シイレサキ</t>
    </rPh>
    <rPh sb="7" eb="9">
      <t>トリヒキ</t>
    </rPh>
    <rPh sb="9" eb="10">
      <t>サキ</t>
    </rPh>
    <rPh sb="10" eb="12">
      <t>キギョウ</t>
    </rPh>
    <rPh sb="13" eb="15">
      <t>ヒサイ</t>
    </rPh>
    <rPh sb="15" eb="17">
      <t>ジョウキョウ</t>
    </rPh>
    <phoneticPr fontId="1"/>
  </si>
  <si>
    <t>実施時期</t>
    <rPh sb="0" eb="2">
      <t>ジッシ</t>
    </rPh>
    <rPh sb="2" eb="4">
      <t>ジキ</t>
    </rPh>
    <phoneticPr fontId="1"/>
  </si>
  <si>
    <t>これらを踏まえ、業務再開時期を決定し、業務再開準備を行う</t>
    <rPh sb="4" eb="5">
      <t>フ</t>
    </rPh>
    <rPh sb="8" eb="14">
      <t>ギョウムサイカイジキ</t>
    </rPh>
    <rPh sb="15" eb="17">
      <t>ケッテイ</t>
    </rPh>
    <rPh sb="19" eb="23">
      <t>ギョウムサイカイ</t>
    </rPh>
    <rPh sb="23" eb="25">
      <t>ジュンビ</t>
    </rPh>
    <rPh sb="26" eb="27">
      <t>オコナ</t>
    </rPh>
    <phoneticPr fontId="1"/>
  </si>
  <si>
    <t>所要時間</t>
    <rPh sb="0" eb="4">
      <t>ショヨウジカン</t>
    </rPh>
    <phoneticPr fontId="1"/>
  </si>
  <si>
    <t>様式８　　復旧・復興資金と事前対策資金の確保</t>
    <rPh sb="0" eb="2">
      <t>ヨウシキ</t>
    </rPh>
    <rPh sb="5" eb="7">
      <t>フッキュウ</t>
    </rPh>
    <rPh sb="8" eb="10">
      <t>フッコウ</t>
    </rPh>
    <rPh sb="10" eb="12">
      <t>シキン</t>
    </rPh>
    <rPh sb="13" eb="17">
      <t>ジゼンタイサク</t>
    </rPh>
    <rPh sb="17" eb="19">
      <t>シキン</t>
    </rPh>
    <rPh sb="20" eb="22">
      <t>カクホ</t>
    </rPh>
    <phoneticPr fontId="1"/>
  </si>
  <si>
    <t>対象者</t>
    <rPh sb="0" eb="3">
      <t>タイショウシャ</t>
    </rPh>
    <phoneticPr fontId="1"/>
  </si>
  <si>
    <t>今年度重点テーマへの対応度</t>
    <rPh sb="0" eb="3">
      <t>コンネンド</t>
    </rPh>
    <rPh sb="3" eb="5">
      <t>ジュウテン</t>
    </rPh>
    <rPh sb="10" eb="12">
      <t>タイオウ</t>
    </rPh>
    <rPh sb="12" eb="13">
      <t>ド</t>
    </rPh>
    <phoneticPr fontId="1"/>
  </si>
  <si>
    <t>様式３　優先再開業務（重要業務）と目標再開時期＆操業度</t>
    <rPh sb="0" eb="2">
      <t>ヨウシキ</t>
    </rPh>
    <rPh sb="4" eb="6">
      <t>ユウセン</t>
    </rPh>
    <rPh sb="6" eb="8">
      <t>サイカイ</t>
    </rPh>
    <rPh sb="11" eb="15">
      <t>ジュウヨウギョウム</t>
    </rPh>
    <rPh sb="17" eb="19">
      <t>モクヒョウ</t>
    </rPh>
    <rPh sb="19" eb="23">
      <t>サイカイジキ</t>
    </rPh>
    <rPh sb="24" eb="27">
      <t>ソウギョウド</t>
    </rPh>
    <phoneticPr fontId="26"/>
  </si>
  <si>
    <t>備考</t>
    <rPh sb="0" eb="2">
      <t>ビコウ</t>
    </rPh>
    <phoneticPr fontId="1"/>
  </si>
  <si>
    <t>現地復旧実施検討表</t>
    <rPh sb="0" eb="2">
      <t>ゲンチ</t>
    </rPh>
    <rPh sb="2" eb="4">
      <t>フッキュウ</t>
    </rPh>
    <rPh sb="4" eb="6">
      <t>ジッシ</t>
    </rPh>
    <rPh sb="6" eb="9">
      <t>ケントウヒョウ</t>
    </rPh>
    <phoneticPr fontId="1"/>
  </si>
  <si>
    <t>目的</t>
    <rPh sb="0" eb="2">
      <t>モクテキ</t>
    </rPh>
    <phoneticPr fontId="1"/>
  </si>
  <si>
    <t>対象リソース名</t>
  </si>
  <si>
    <t>経営資源一覧と想定脅威への対応表</t>
    <rPh sb="0" eb="4">
      <t>ケイエイシゲン</t>
    </rPh>
    <rPh sb="4" eb="6">
      <t>イチラン</t>
    </rPh>
    <rPh sb="7" eb="9">
      <t>ソウテイ</t>
    </rPh>
    <rPh sb="9" eb="11">
      <t>キョウイ</t>
    </rPh>
    <rPh sb="13" eb="15">
      <t>タイオウ</t>
    </rPh>
    <rPh sb="15" eb="16">
      <t>ヒョウ</t>
    </rPh>
    <phoneticPr fontId="1"/>
  </si>
  <si>
    <t>リソース分類</t>
    <rPh sb="4" eb="6">
      <t>ブンルイ</t>
    </rPh>
    <phoneticPr fontId="1"/>
  </si>
  <si>
    <t>実施担当</t>
    <rPh sb="0" eb="2">
      <t>ジッシ</t>
    </rPh>
    <rPh sb="2" eb="4">
      <t>タントウ</t>
    </rPh>
    <phoneticPr fontId="1"/>
  </si>
  <si>
    <t>準備事項</t>
    <rPh sb="0" eb="2">
      <t>ジュンビ</t>
    </rPh>
    <rPh sb="2" eb="4">
      <t>ジコウ</t>
    </rPh>
    <phoneticPr fontId="1"/>
  </si>
  <si>
    <t>実施内容</t>
    <rPh sb="0" eb="2">
      <t>ジッシ</t>
    </rPh>
    <rPh sb="2" eb="4">
      <t>ナイヨウ</t>
    </rPh>
    <phoneticPr fontId="1"/>
  </si>
  <si>
    <t>型</t>
    <rPh sb="0" eb="1">
      <t>カタ</t>
    </rPh>
    <phoneticPr fontId="1"/>
  </si>
  <si>
    <t>費用概算</t>
    <rPh sb="0" eb="4">
      <t>ヒヨウガイサン</t>
    </rPh>
    <phoneticPr fontId="1"/>
  </si>
  <si>
    <t>仕掛</t>
    <rPh sb="0" eb="2">
      <t>シカカリ</t>
    </rPh>
    <phoneticPr fontId="1"/>
  </si>
  <si>
    <t>実施完了日</t>
    <rPh sb="0" eb="2">
      <t>ジッシ</t>
    </rPh>
    <rPh sb="2" eb="5">
      <t>カンリョウビ</t>
    </rPh>
    <phoneticPr fontId="1"/>
  </si>
  <si>
    <t>役割名</t>
  </si>
  <si>
    <t>演習・訓練計画</t>
    <rPh sb="0" eb="2">
      <t>エンシュウ</t>
    </rPh>
    <rPh sb="3" eb="5">
      <t>クンレン</t>
    </rPh>
    <rPh sb="5" eb="7">
      <t>ケイカク</t>
    </rPh>
    <phoneticPr fontId="1"/>
  </si>
  <si>
    <t>費用実績</t>
    <rPh sb="0" eb="2">
      <t>ヒヨウ</t>
    </rPh>
    <rPh sb="2" eb="4">
      <t>ジッセキ</t>
    </rPh>
    <phoneticPr fontId="1"/>
  </si>
  <si>
    <t>ガス</t>
  </si>
  <si>
    <t>代替時の課題</t>
    <rPh sb="0" eb="3">
      <t>ダイガエジ</t>
    </rPh>
    <rPh sb="4" eb="6">
      <t>カダイ</t>
    </rPh>
    <phoneticPr fontId="1"/>
  </si>
  <si>
    <t>完了サイン</t>
    <rPh sb="0" eb="2">
      <t>カンリョウ</t>
    </rPh>
    <phoneticPr fontId="1"/>
  </si>
  <si>
    <t>実施日</t>
    <rPh sb="0" eb="3">
      <t>ジッシビ</t>
    </rPh>
    <phoneticPr fontId="1"/>
  </si>
  <si>
    <t>参加人数</t>
    <rPh sb="0" eb="2">
      <t>サンカ</t>
    </rPh>
    <rPh sb="2" eb="4">
      <t>ニンズウ</t>
    </rPh>
    <phoneticPr fontId="1"/>
  </si>
  <si>
    <t>どのような狙いをもって行うのか</t>
    <rPh sb="5" eb="6">
      <t>ネラ</t>
    </rPh>
    <rPh sb="11" eb="12">
      <t>オコナ</t>
    </rPh>
    <phoneticPr fontId="1"/>
  </si>
  <si>
    <t>ここでは、重要な資源が予期しない状況で現実に利用や調達が不可能となった</t>
    <rPh sb="5" eb="7">
      <t>ジュウヨウ</t>
    </rPh>
    <rPh sb="8" eb="10">
      <t>シゲン</t>
    </rPh>
    <rPh sb="11" eb="13">
      <t>ヨキ</t>
    </rPh>
    <rPh sb="16" eb="18">
      <t>ジョウキョウ</t>
    </rPh>
    <rPh sb="19" eb="21">
      <t>ゲンジツ</t>
    </rPh>
    <rPh sb="22" eb="24">
      <t>リヨウ</t>
    </rPh>
    <rPh sb="25" eb="27">
      <t>チョウタツ</t>
    </rPh>
    <rPh sb="28" eb="31">
      <t>フカノウ</t>
    </rPh>
    <phoneticPr fontId="1"/>
  </si>
  <si>
    <t>どのような対策を行うのか</t>
    <rPh sb="5" eb="7">
      <t>タイサク</t>
    </rPh>
    <rPh sb="8" eb="9">
      <t>オコナ</t>
    </rPh>
    <phoneticPr fontId="1"/>
  </si>
  <si>
    <t>区分（演習、机上訓練、実動訓練）</t>
    <rPh sb="0" eb="2">
      <t>クブン</t>
    </rPh>
    <rPh sb="3" eb="5">
      <t>エンシュウ</t>
    </rPh>
    <rPh sb="6" eb="10">
      <t>キジョウクンレン</t>
    </rPh>
    <rPh sb="11" eb="15">
      <t>ジツドウクンレン</t>
    </rPh>
    <phoneticPr fontId="1"/>
  </si>
  <si>
    <t>参加者評価</t>
    <rPh sb="0" eb="3">
      <t>サンカシャ</t>
    </rPh>
    <rPh sb="3" eb="5">
      <t>ヒョウカ</t>
    </rPh>
    <phoneticPr fontId="1"/>
  </si>
  <si>
    <t>自社BCPの内容、防災関連知識、救出・救命、サバイバル術</t>
    <rPh sb="0" eb="2">
      <t>ジシャ</t>
    </rPh>
    <rPh sb="6" eb="8">
      <t>ナイヨウ</t>
    </rPh>
    <rPh sb="9" eb="13">
      <t>ボウサイカンレン</t>
    </rPh>
    <rPh sb="13" eb="15">
      <t>チシキ</t>
    </rPh>
    <rPh sb="16" eb="18">
      <t>キュウシュツ</t>
    </rPh>
    <rPh sb="19" eb="21">
      <t>キュウメイ</t>
    </rPh>
    <rPh sb="27" eb="28">
      <t>ジュツ</t>
    </rPh>
    <phoneticPr fontId="1"/>
  </si>
  <si>
    <t>特　記　事　項</t>
    <rPh sb="0" eb="1">
      <t>トク</t>
    </rPh>
    <rPh sb="2" eb="3">
      <t>キ</t>
    </rPh>
    <rPh sb="4" eb="5">
      <t>コト</t>
    </rPh>
    <rPh sb="6" eb="7">
      <t>コウ</t>
    </rPh>
    <phoneticPr fontId="1"/>
  </si>
  <si>
    <t>在庫種類</t>
    <rPh sb="0" eb="4">
      <t>ザイコシュルイ</t>
    </rPh>
    <phoneticPr fontId="1"/>
  </si>
  <si>
    <t>教育内容（概要）</t>
    <rPh sb="0" eb="2">
      <t>キョウイク</t>
    </rPh>
    <rPh sb="2" eb="4">
      <t>ナイヨウ</t>
    </rPh>
    <rPh sb="5" eb="7">
      <t>ガイヨウ</t>
    </rPh>
    <phoneticPr fontId="1"/>
  </si>
  <si>
    <t>出勤可能数</t>
    <rPh sb="0" eb="2">
      <t>シュッキン</t>
    </rPh>
    <rPh sb="2" eb="4">
      <t>カノウ</t>
    </rPh>
    <rPh sb="4" eb="5">
      <t>スウ</t>
    </rPh>
    <phoneticPr fontId="1"/>
  </si>
  <si>
    <t>訓練項目</t>
    <rPh sb="0" eb="2">
      <t>クンレン</t>
    </rPh>
    <rPh sb="2" eb="4">
      <t>コウモク</t>
    </rPh>
    <phoneticPr fontId="1"/>
  </si>
  <si>
    <t>品番等</t>
    <rPh sb="0" eb="2">
      <t>ヒンバン</t>
    </rPh>
    <rPh sb="2" eb="3">
      <t>トウ</t>
    </rPh>
    <phoneticPr fontId="1"/>
  </si>
  <si>
    <t>重要業務
再開時期</t>
    <rPh sb="0" eb="2">
      <t>ジュウヨウ</t>
    </rPh>
    <rPh sb="2" eb="4">
      <t>ギョウム</t>
    </rPh>
    <rPh sb="5" eb="7">
      <t>サイカイ</t>
    </rPh>
    <rPh sb="7" eb="9">
      <t>ジキ</t>
    </rPh>
    <phoneticPr fontId="26"/>
  </si>
  <si>
    <t>内定済保証額（千円）</t>
    <rPh sb="0" eb="3">
      <t>ナイテイズ</t>
    </rPh>
    <rPh sb="3" eb="6">
      <t>ホショウガク</t>
    </rPh>
    <rPh sb="7" eb="9">
      <t>センエン</t>
    </rPh>
    <phoneticPr fontId="1"/>
  </si>
  <si>
    <t>訓練内容</t>
    <rPh sb="0" eb="2">
      <t>クンレン</t>
    </rPh>
    <rPh sb="2" eb="4">
      <t>ナイヨウ</t>
    </rPh>
    <phoneticPr fontId="1"/>
  </si>
  <si>
    <t>事業継続力強化計画
による融資</t>
    <rPh sb="0" eb="5">
      <t>ジギョウケイゾクリョク</t>
    </rPh>
    <rPh sb="5" eb="9">
      <t>キョウカケイカク</t>
    </rPh>
    <rPh sb="13" eb="15">
      <t>ユウシ</t>
    </rPh>
    <phoneticPr fontId="1"/>
  </si>
  <si>
    <t>参加対象者</t>
    <rPh sb="0" eb="5">
      <t>サンカタイショウシャ</t>
    </rPh>
    <phoneticPr fontId="1"/>
  </si>
  <si>
    <t>代替実施時の手順や実施内容の確認</t>
    <rPh sb="0" eb="2">
      <t>ダイガエ</t>
    </rPh>
    <rPh sb="2" eb="4">
      <t>ジッシ</t>
    </rPh>
    <rPh sb="4" eb="5">
      <t>ジ</t>
    </rPh>
    <rPh sb="6" eb="8">
      <t>テジュン</t>
    </rPh>
    <rPh sb="9" eb="11">
      <t>ジッシ</t>
    </rPh>
    <rPh sb="11" eb="13">
      <t>ナイヨウ</t>
    </rPh>
    <rPh sb="14" eb="16">
      <t>カクニン</t>
    </rPh>
    <phoneticPr fontId="1"/>
  </si>
  <si>
    <t>修理完了</t>
    <rPh sb="0" eb="4">
      <t>シュウリカンリョウ</t>
    </rPh>
    <phoneticPr fontId="1"/>
  </si>
  <si>
    <t>訓練目的</t>
    <rPh sb="0" eb="4">
      <t>クンレンモクテキ</t>
    </rPh>
    <phoneticPr fontId="1"/>
  </si>
  <si>
    <t>様式１５　事業継続力の評価・見直し・改善　</t>
    <rPh sb="0" eb="2">
      <t>ヨウシキ</t>
    </rPh>
    <rPh sb="5" eb="10">
      <t>ジギョウケイゾクリョク</t>
    </rPh>
    <rPh sb="11" eb="13">
      <t>ヒョウカ</t>
    </rPh>
    <rPh sb="14" eb="16">
      <t>ミナオ</t>
    </rPh>
    <rPh sb="18" eb="20">
      <t>カイゼン</t>
    </rPh>
    <phoneticPr fontId="1"/>
  </si>
  <si>
    <t>訓練予定日</t>
    <rPh sb="0" eb="5">
      <t>クンレンヨテイビ</t>
    </rPh>
    <phoneticPr fontId="1"/>
  </si>
  <si>
    <t>次年度重点テーマ</t>
    <rPh sb="0" eb="3">
      <t>ジネンド</t>
    </rPh>
    <rPh sb="3" eb="5">
      <t>ジュウテン</t>
    </rPh>
    <phoneticPr fontId="1"/>
  </si>
  <si>
    <t>訓練時間</t>
    <rPh sb="0" eb="4">
      <t>クンレンジカン</t>
    </rPh>
    <phoneticPr fontId="1"/>
  </si>
  <si>
    <t>管理項目</t>
    <rPh sb="0" eb="2">
      <t>カンリ</t>
    </rPh>
    <rPh sb="2" eb="4">
      <t>コウモク</t>
    </rPh>
    <phoneticPr fontId="1"/>
  </si>
  <si>
    <t>訓練実施日</t>
    <rPh sb="0" eb="5">
      <t>クンレンジッシビ</t>
    </rPh>
    <phoneticPr fontId="1"/>
  </si>
  <si>
    <t>保険期間</t>
    <rPh sb="0" eb="2">
      <t>ホケン</t>
    </rPh>
    <rPh sb="2" eb="4">
      <t>キカン</t>
    </rPh>
    <phoneticPr fontId="1"/>
  </si>
  <si>
    <t>訓練参加人数</t>
    <rPh sb="0" eb="4">
      <t>クンレンサンカ</t>
    </rPh>
    <rPh sb="4" eb="6">
      <t>ニンズウ</t>
    </rPh>
    <phoneticPr fontId="1"/>
  </si>
  <si>
    <t>準備項目</t>
    <rPh sb="0" eb="2">
      <t>ジュンビ</t>
    </rPh>
    <rPh sb="2" eb="4">
      <t>コウモク</t>
    </rPh>
    <phoneticPr fontId="1"/>
  </si>
  <si>
    <t>見直し内容（テーマ）</t>
    <rPh sb="0" eb="2">
      <t>ミナオ</t>
    </rPh>
    <rPh sb="3" eb="5">
      <t>ナイヨウ</t>
    </rPh>
    <phoneticPr fontId="1"/>
  </si>
  <si>
    <t>ガントチャートで進捗管理</t>
    <rPh sb="8" eb="12">
      <t>シンチョクカンリ</t>
    </rPh>
    <phoneticPr fontId="1"/>
  </si>
  <si>
    <t>BCMの評価</t>
    <rPh sb="4" eb="6">
      <t>ヒョウカ</t>
    </rPh>
    <phoneticPr fontId="1"/>
  </si>
  <si>
    <t>通常の修理・復旧や再調達では、業務再開までに時間がかかりすぎます。</t>
    <rPh sb="0" eb="2">
      <t>ツウジョウ</t>
    </rPh>
    <rPh sb="3" eb="5">
      <t>シュウリ</t>
    </rPh>
    <rPh sb="6" eb="8">
      <t>フッキュウ</t>
    </rPh>
    <rPh sb="9" eb="12">
      <t>サイチョウタツ</t>
    </rPh>
    <rPh sb="15" eb="19">
      <t>ギョウムサイカイ</t>
    </rPh>
    <rPh sb="22" eb="24">
      <t>ジカン</t>
    </rPh>
    <phoneticPr fontId="1"/>
  </si>
  <si>
    <t>現地復旧への対応力</t>
    <rPh sb="0" eb="4">
      <t>ゲンチフッキュウ</t>
    </rPh>
    <rPh sb="6" eb="9">
      <t>タイオウリョク</t>
    </rPh>
    <phoneticPr fontId="1"/>
  </si>
  <si>
    <t>BCM内情報は最新状態を維持</t>
    <rPh sb="3" eb="4">
      <t>ナイ</t>
    </rPh>
    <rPh sb="4" eb="6">
      <t>ジョウホウ</t>
    </rPh>
    <rPh sb="7" eb="9">
      <t>サイシン</t>
    </rPh>
    <rPh sb="9" eb="11">
      <t>ジョウタイ</t>
    </rPh>
    <rPh sb="12" eb="14">
      <t>イジ</t>
    </rPh>
    <phoneticPr fontId="1"/>
  </si>
  <si>
    <t>手段</t>
  </si>
  <si>
    <t>代替への対応力</t>
    <rPh sb="0" eb="2">
      <t>ダイガエ</t>
    </rPh>
    <rPh sb="4" eb="7">
      <t>タイオウリョク</t>
    </rPh>
    <phoneticPr fontId="1"/>
  </si>
  <si>
    <t>重要なスキル・技能</t>
    <rPh sb="0" eb="2">
      <t>ジュウヨウ</t>
    </rPh>
    <rPh sb="7" eb="9">
      <t>ギノウ</t>
    </rPh>
    <phoneticPr fontId="1"/>
  </si>
  <si>
    <t>事前対策の状況</t>
    <rPh sb="0" eb="2">
      <t>ジゼン</t>
    </rPh>
    <rPh sb="2" eb="4">
      <t>タイサク</t>
    </rPh>
    <rPh sb="5" eb="7">
      <t>ジョウキョウ</t>
    </rPh>
    <phoneticPr fontId="1"/>
  </si>
  <si>
    <t>基本的考え</t>
    <rPh sb="0" eb="3">
      <t>キホンテキ</t>
    </rPh>
    <rPh sb="3" eb="4">
      <t>カンガ</t>
    </rPh>
    <phoneticPr fontId="1"/>
  </si>
  <si>
    <t>BCM活動の総合評価</t>
    <rPh sb="3" eb="5">
      <t>カツドウ</t>
    </rPh>
    <rPh sb="6" eb="10">
      <t>ソウゴウヒョウカ</t>
    </rPh>
    <phoneticPr fontId="1"/>
  </si>
  <si>
    <t>管理番号</t>
    <rPh sb="0" eb="4">
      <t>カンリバンゴウ</t>
    </rPh>
    <phoneticPr fontId="1"/>
  </si>
  <si>
    <t>活用優先順位</t>
  </si>
  <si>
    <t>参加でのコメント（反省点・改善点など）</t>
    <rPh sb="0" eb="2">
      <t>サンカ</t>
    </rPh>
    <rPh sb="9" eb="12">
      <t>ハンセイテン</t>
    </rPh>
    <rPh sb="13" eb="16">
      <t>カイゼンテン</t>
    </rPh>
    <phoneticPr fontId="1"/>
  </si>
  <si>
    <t>リソース関係</t>
    <rPh sb="4" eb="6">
      <t>カンケイ</t>
    </rPh>
    <phoneticPr fontId="1"/>
  </si>
  <si>
    <t>原材料・資材</t>
    <rPh sb="0" eb="1">
      <t>ゲン</t>
    </rPh>
    <rPh sb="1" eb="3">
      <t>ザイリョウ</t>
    </rPh>
    <rPh sb="4" eb="6">
      <t>シザイ</t>
    </rPh>
    <phoneticPr fontId="1"/>
  </si>
  <si>
    <t>危機対応関係</t>
    <rPh sb="0" eb="4">
      <t>キキタイオウ</t>
    </rPh>
    <rPh sb="4" eb="6">
      <t>カンケイ</t>
    </rPh>
    <phoneticPr fontId="1"/>
  </si>
  <si>
    <t>現状の課題</t>
    <rPh sb="0" eb="2">
      <t>ゲンジョウ</t>
    </rPh>
    <rPh sb="3" eb="5">
      <t>カダイ</t>
    </rPh>
    <phoneticPr fontId="1"/>
  </si>
  <si>
    <t>対策名称</t>
    <rPh sb="0" eb="4">
      <t>タイサクメイショウ</t>
    </rPh>
    <phoneticPr fontId="1"/>
  </si>
  <si>
    <t>見直し後の内容</t>
    <rPh sb="0" eb="2">
      <t>ミナオ</t>
    </rPh>
    <rPh sb="3" eb="4">
      <t>ゴ</t>
    </rPh>
    <rPh sb="5" eb="7">
      <t>ナイヨウ</t>
    </rPh>
    <phoneticPr fontId="1"/>
  </si>
  <si>
    <t>見直し実施者</t>
    <rPh sb="0" eb="2">
      <t>ミナオ</t>
    </rPh>
    <rPh sb="3" eb="5">
      <t>ジッシ</t>
    </rPh>
    <rPh sb="5" eb="6">
      <t>シャ</t>
    </rPh>
    <phoneticPr fontId="1"/>
  </si>
  <si>
    <t>可　・　否</t>
    <rPh sb="0" eb="1">
      <t>カ</t>
    </rPh>
    <rPh sb="4" eb="5">
      <t>ヒ</t>
    </rPh>
    <phoneticPr fontId="1"/>
  </si>
  <si>
    <t>見直し・改善会議実施予定日</t>
    <rPh sb="0" eb="2">
      <t>ミナオ</t>
    </rPh>
    <rPh sb="4" eb="6">
      <t>カイゼン</t>
    </rPh>
    <rPh sb="6" eb="8">
      <t>カイギ</t>
    </rPh>
    <rPh sb="8" eb="10">
      <t>ジッシ</t>
    </rPh>
    <rPh sb="10" eb="12">
      <t>ヨテイ</t>
    </rPh>
    <rPh sb="12" eb="13">
      <t>ビ</t>
    </rPh>
    <phoneticPr fontId="1"/>
  </si>
  <si>
    <t>報告日時：　　　年　　　月　　　日　　　　時　　　　分</t>
    <rPh sb="0" eb="2">
      <t>ホウコク</t>
    </rPh>
    <rPh sb="2" eb="4">
      <t>ニチジ</t>
    </rPh>
    <rPh sb="8" eb="9">
      <t>ネン</t>
    </rPh>
    <rPh sb="12" eb="13">
      <t>ガツ</t>
    </rPh>
    <rPh sb="16" eb="17">
      <t>ニチ</t>
    </rPh>
    <rPh sb="21" eb="22">
      <t>ジ</t>
    </rPh>
    <rPh sb="26" eb="27">
      <t>フン</t>
    </rPh>
    <phoneticPr fontId="1"/>
  </si>
  <si>
    <t>見直し・改善会議実施体制</t>
    <rPh sb="0" eb="2">
      <t>ミナオ</t>
    </rPh>
    <rPh sb="4" eb="6">
      <t>カイゼン</t>
    </rPh>
    <rPh sb="6" eb="8">
      <t>カイギ</t>
    </rPh>
    <rPh sb="8" eb="10">
      <t>ジッシ</t>
    </rPh>
    <rPh sb="10" eb="12">
      <t>タイセイ</t>
    </rPh>
    <phoneticPr fontId="1"/>
  </si>
  <si>
    <t>様式表題</t>
    <rPh sb="0" eb="4">
      <t>ヨウシキヒョウダイ</t>
    </rPh>
    <phoneticPr fontId="1"/>
  </si>
  <si>
    <t>見直し・改善項目</t>
    <rPh sb="0" eb="2">
      <t>ミナオ</t>
    </rPh>
    <rPh sb="4" eb="6">
      <t>カイゼン</t>
    </rPh>
    <rPh sb="6" eb="8">
      <t>コウモク</t>
    </rPh>
    <phoneticPr fontId="1"/>
  </si>
  <si>
    <t>設備名</t>
    <rPh sb="0" eb="3">
      <t>セツビメイ</t>
    </rPh>
    <phoneticPr fontId="1"/>
  </si>
  <si>
    <t>BCM評価予定日</t>
    <rPh sb="3" eb="5">
      <t>ヒョウカ</t>
    </rPh>
    <rPh sb="5" eb="7">
      <t>ヨテイ</t>
    </rPh>
    <rPh sb="7" eb="8">
      <t>ビ</t>
    </rPh>
    <phoneticPr fontId="1"/>
  </si>
  <si>
    <t>BCM評価体制</t>
    <rPh sb="3" eb="7">
      <t>ヒョウカタイセイ</t>
    </rPh>
    <phoneticPr fontId="1"/>
  </si>
  <si>
    <t>訓練報告書</t>
    <rPh sb="0" eb="2">
      <t>クンレン</t>
    </rPh>
    <rPh sb="2" eb="5">
      <t>ホウコクショ</t>
    </rPh>
    <phoneticPr fontId="1"/>
  </si>
  <si>
    <t>訓練実施方法</t>
    <rPh sb="0" eb="2">
      <t>クンレン</t>
    </rPh>
    <rPh sb="2" eb="4">
      <t>ジッシ</t>
    </rPh>
    <rPh sb="4" eb="6">
      <t>ホウホウ</t>
    </rPh>
    <phoneticPr fontId="1"/>
  </si>
  <si>
    <t>本社工場</t>
    <rPh sb="0" eb="2">
      <t>ホンシャ</t>
    </rPh>
    <rPh sb="2" eb="4">
      <t>コウジョウ</t>
    </rPh>
    <phoneticPr fontId="1"/>
  </si>
  <si>
    <t>参考に事業再開の具体策を検討する</t>
    <rPh sb="0" eb="2">
      <t>サンコウ</t>
    </rPh>
    <rPh sb="3" eb="7">
      <t>ジギョウサイカイ</t>
    </rPh>
    <rPh sb="8" eb="11">
      <t>グタイサク</t>
    </rPh>
    <rPh sb="12" eb="14">
      <t>ケントウ</t>
    </rPh>
    <phoneticPr fontId="1"/>
  </si>
  <si>
    <t>復旧見込み</t>
    <rPh sb="0" eb="4">
      <t>フッキュウミコ</t>
    </rPh>
    <phoneticPr fontId="1"/>
  </si>
  <si>
    <t>訓練スケジュール</t>
    <rPh sb="0" eb="2">
      <t>クンレン</t>
    </rPh>
    <phoneticPr fontId="1"/>
  </si>
  <si>
    <t>役職・氏名</t>
    <rPh sb="0" eb="2">
      <t>ヤクショク</t>
    </rPh>
    <rPh sb="3" eb="5">
      <t>シメイ</t>
    </rPh>
    <phoneticPr fontId="1"/>
  </si>
  <si>
    <t>部門</t>
    <rPh sb="0" eb="2">
      <t>ブモン</t>
    </rPh>
    <phoneticPr fontId="1"/>
  </si>
  <si>
    <t>被災状況１：事業遂行への影響</t>
    <rPh sb="0" eb="4">
      <t>ヒサイジョウキョウ</t>
    </rPh>
    <rPh sb="6" eb="8">
      <t>ジギョウ</t>
    </rPh>
    <rPh sb="8" eb="10">
      <t>スイコウ</t>
    </rPh>
    <rPh sb="12" eb="14">
      <t>エイキョウ</t>
    </rPh>
    <phoneticPr fontId="1"/>
  </si>
  <si>
    <t>被災状況２：従業員の状況</t>
    <rPh sb="0" eb="4">
      <t>ヒサイジョウキョウ</t>
    </rPh>
    <rPh sb="6" eb="9">
      <t>ジュウギョウイン</t>
    </rPh>
    <rPh sb="10" eb="12">
      <t>ジョウキョウ</t>
    </rPh>
    <phoneticPr fontId="1"/>
  </si>
  <si>
    <t>被災状況３：事務所・工場・店舗の状況</t>
    <rPh sb="0" eb="4">
      <t>ヒサイジョウキョウ</t>
    </rPh>
    <rPh sb="6" eb="9">
      <t>ジムショ</t>
    </rPh>
    <rPh sb="10" eb="12">
      <t>コウジョウ</t>
    </rPh>
    <rPh sb="13" eb="15">
      <t>テンポ</t>
    </rPh>
    <rPh sb="16" eb="18">
      <t>ジョウキョウ</t>
    </rPh>
    <phoneticPr fontId="1"/>
  </si>
  <si>
    <t>　建物名</t>
    <rPh sb="1" eb="4">
      <t>タテモノメイ</t>
    </rPh>
    <phoneticPr fontId="1"/>
  </si>
  <si>
    <t>　本社事務所</t>
    <rPh sb="1" eb="3">
      <t>ホンシャ</t>
    </rPh>
    <rPh sb="3" eb="6">
      <t>ジムショ</t>
    </rPh>
    <phoneticPr fontId="1"/>
  </si>
  <si>
    <t>　XX工場</t>
    <rPh sb="3" eb="5">
      <t>コウジョウ</t>
    </rPh>
    <phoneticPr fontId="1"/>
  </si>
  <si>
    <t>建物、近隣の被災状況から、被災レベル（軽微・甚大・壊滅）を大まかに把握</t>
    <rPh sb="0" eb="2">
      <t>タテモノ</t>
    </rPh>
    <rPh sb="3" eb="5">
      <t>キンリン</t>
    </rPh>
    <rPh sb="6" eb="10">
      <t>ヒサイジョウキョウ</t>
    </rPh>
    <rPh sb="13" eb="15">
      <t>ヒサイ</t>
    </rPh>
    <rPh sb="19" eb="21">
      <t>ケイビ</t>
    </rPh>
    <rPh sb="22" eb="24">
      <t>ジンダイ</t>
    </rPh>
    <rPh sb="25" eb="27">
      <t>カイメツ</t>
    </rPh>
    <rPh sb="29" eb="30">
      <t>オオ</t>
    </rPh>
    <rPh sb="33" eb="35">
      <t>ハアク</t>
    </rPh>
    <phoneticPr fontId="1"/>
  </si>
  <si>
    <t>　不明者はいるか</t>
    <rPh sb="1" eb="4">
      <t>フメイシャ</t>
    </rPh>
    <phoneticPr fontId="1"/>
  </si>
  <si>
    <t>資金をどう確保するか？</t>
    <rPh sb="0" eb="2">
      <t>シキン</t>
    </rPh>
    <rPh sb="5" eb="7">
      <t>カクホ</t>
    </rPh>
    <phoneticPr fontId="1"/>
  </si>
  <si>
    <t>概算費用</t>
    <rPh sb="0" eb="4">
      <t>ガイサンヒヨウ</t>
    </rPh>
    <phoneticPr fontId="1"/>
  </si>
  <si>
    <t>資金の種類には　自己資金（必要な時に現金化できる資金）</t>
    <rPh sb="0" eb="2">
      <t>シキン</t>
    </rPh>
    <rPh sb="3" eb="5">
      <t>シュルイ</t>
    </rPh>
    <rPh sb="8" eb="12">
      <t>ジコシキン</t>
    </rPh>
    <rPh sb="13" eb="15">
      <t>ヒツヨウ</t>
    </rPh>
    <rPh sb="16" eb="17">
      <t>トキ</t>
    </rPh>
    <rPh sb="18" eb="21">
      <t>ゲンキンカ</t>
    </rPh>
    <rPh sb="24" eb="26">
      <t>シキン</t>
    </rPh>
    <phoneticPr fontId="1"/>
  </si>
  <si>
    <t>原材料の代替（代替材料、代替仕入先、代替生産、委託生産・・・・）</t>
    <rPh sb="0" eb="3">
      <t>ゲンザイリョウ</t>
    </rPh>
    <rPh sb="4" eb="6">
      <t>ダイガエ</t>
    </rPh>
    <rPh sb="7" eb="9">
      <t>ダイガエ</t>
    </rPh>
    <rPh sb="9" eb="11">
      <t>ザイリョウ</t>
    </rPh>
    <rPh sb="12" eb="14">
      <t>ダイガエ</t>
    </rPh>
    <rPh sb="14" eb="17">
      <t>シイレサキ</t>
    </rPh>
    <rPh sb="18" eb="20">
      <t>ダイガエ</t>
    </rPh>
    <rPh sb="20" eb="22">
      <t>セイサン</t>
    </rPh>
    <rPh sb="23" eb="27">
      <t>イタクセイサン</t>
    </rPh>
    <phoneticPr fontId="1"/>
  </si>
  <si>
    <t>修理費用</t>
    <rPh sb="0" eb="4">
      <t>シュウリヒヨウ</t>
    </rPh>
    <phoneticPr fontId="1"/>
  </si>
  <si>
    <r>
      <t>金融機関からの融資により必要資金を確保する　</t>
    </r>
    <r>
      <rPr>
        <b/>
        <sz val="11"/>
        <color theme="1"/>
        <rFont val="ＭＳ Ｐゴシック"/>
      </rPr>
      <t>いくらまで融資可能か</t>
    </r>
    <rPh sb="0" eb="4">
      <t>キンユウキカン</t>
    </rPh>
    <rPh sb="7" eb="9">
      <t>ユウシ</t>
    </rPh>
    <rPh sb="12" eb="16">
      <t>ヒツヨウシキン</t>
    </rPh>
    <rPh sb="17" eb="19">
      <t>カクホ</t>
    </rPh>
    <rPh sb="27" eb="29">
      <t>ユウシ</t>
    </rPh>
    <rPh sb="29" eb="31">
      <t>カノウ</t>
    </rPh>
    <phoneticPr fontId="1"/>
  </si>
  <si>
    <t>業務再開予定日</t>
    <rPh sb="0" eb="2">
      <t>ギョウム</t>
    </rPh>
    <rPh sb="2" eb="4">
      <t>サイカイ</t>
    </rPh>
    <rPh sb="4" eb="7">
      <t>ヨテイビ</t>
    </rPh>
    <phoneticPr fontId="1"/>
  </si>
  <si>
    <t>損害保険の適用で支払われる見込みの保険金</t>
    <rPh sb="0" eb="4">
      <t>ソンガイホケン</t>
    </rPh>
    <rPh sb="5" eb="7">
      <t>テキヨウ</t>
    </rPh>
    <rPh sb="8" eb="10">
      <t>シハラ</t>
    </rPh>
    <rPh sb="13" eb="15">
      <t>ミコ</t>
    </rPh>
    <rPh sb="17" eb="20">
      <t>ホケンキン</t>
    </rPh>
    <phoneticPr fontId="1"/>
  </si>
  <si>
    <t>国や自治体からの助成制度や特別融資</t>
    <rPh sb="0" eb="1">
      <t>クニ</t>
    </rPh>
    <rPh sb="2" eb="5">
      <t>ジチタイ</t>
    </rPh>
    <rPh sb="8" eb="12">
      <t>ジョセイセイド</t>
    </rPh>
    <rPh sb="13" eb="17">
      <t>トクベツユウシ</t>
    </rPh>
    <phoneticPr fontId="1"/>
  </si>
  <si>
    <t>BCPを理解しBCP要員と連携し、自らの業務におけるBCPの活動を行う</t>
  </si>
  <si>
    <t>被災状況から該当リソースの復旧の容易性を評価する</t>
    <rPh sb="0" eb="4">
      <t>ヒサイジョウキョウ</t>
    </rPh>
    <rPh sb="6" eb="8">
      <t>ガイトウ</t>
    </rPh>
    <rPh sb="13" eb="15">
      <t>フッキュウ</t>
    </rPh>
    <rPh sb="16" eb="19">
      <t>ヨウイセイ</t>
    </rPh>
    <rPh sb="20" eb="22">
      <t>ヒョウカ</t>
    </rPh>
    <phoneticPr fontId="1"/>
  </si>
  <si>
    <t>復旧再開計画の実行管理</t>
    <rPh sb="0" eb="4">
      <t>フッキュウサイカイ</t>
    </rPh>
    <rPh sb="4" eb="6">
      <t>ケイカク</t>
    </rPh>
    <rPh sb="7" eb="11">
      <t>ジッコウカンリ</t>
    </rPh>
    <phoneticPr fontId="1"/>
  </si>
  <si>
    <t>　（復旧の進め方、必要費用、実施担当者、外部事業者、完了予定日）</t>
    <rPh sb="2" eb="4">
      <t>フッキュウ</t>
    </rPh>
    <rPh sb="5" eb="6">
      <t>スス</t>
    </rPh>
    <rPh sb="7" eb="8">
      <t>カタ</t>
    </rPh>
    <rPh sb="9" eb="13">
      <t>ヒツヨウヒヨウ</t>
    </rPh>
    <rPh sb="14" eb="16">
      <t>ジッシ</t>
    </rPh>
    <rPh sb="16" eb="19">
      <t>タントウシャ</t>
    </rPh>
    <rPh sb="20" eb="22">
      <t>ガイブ</t>
    </rPh>
    <rPh sb="22" eb="25">
      <t>ジギョウシャ</t>
    </rPh>
    <rPh sb="26" eb="31">
      <t>カンリョウヨテイビ</t>
    </rPh>
    <phoneticPr fontId="1"/>
  </si>
  <si>
    <t>資源分類</t>
    <rPh sb="0" eb="4">
      <t>シゲンブンルイ</t>
    </rPh>
    <phoneticPr fontId="1"/>
  </si>
  <si>
    <t>復旧方針に従い、資源ごとの復旧責任者を決め復旧実施計画を作成する</t>
    <rPh sb="0" eb="4">
      <t>フッキュウホウシン</t>
    </rPh>
    <rPh sb="8" eb="10">
      <t>シゲン</t>
    </rPh>
    <rPh sb="13" eb="15">
      <t>フッキュウ</t>
    </rPh>
    <rPh sb="15" eb="18">
      <t>セキニンシャ</t>
    </rPh>
    <rPh sb="19" eb="20">
      <t>キ</t>
    </rPh>
    <rPh sb="21" eb="23">
      <t>フッキュウ</t>
    </rPh>
    <rPh sb="23" eb="25">
      <t>ジッシ</t>
    </rPh>
    <rPh sb="25" eb="27">
      <t>ケイカク</t>
    </rPh>
    <rPh sb="28" eb="30">
      <t>サクセイ</t>
    </rPh>
    <phoneticPr fontId="1"/>
  </si>
  <si>
    <t>過去の激甚災害時の支援事例を確認し</t>
    <rPh sb="0" eb="2">
      <t>カコ</t>
    </rPh>
    <rPh sb="3" eb="8">
      <t>ゲキジンサイガイジ</t>
    </rPh>
    <rPh sb="9" eb="11">
      <t>シエン</t>
    </rPh>
    <rPh sb="11" eb="13">
      <t>ジレイ</t>
    </rPh>
    <rPh sb="14" eb="16">
      <t>カクニン</t>
    </rPh>
    <phoneticPr fontId="1"/>
  </si>
  <si>
    <t>　　　　　株式会社</t>
    <rPh sb="5" eb="9">
      <t>カブシキガイシャ</t>
    </rPh>
    <phoneticPr fontId="1"/>
  </si>
  <si>
    <t>復旧対処における、日々の状況を朝、夕にミーティングを行い</t>
    <rPh sb="0" eb="2">
      <t>フッキュウ</t>
    </rPh>
    <rPh sb="2" eb="4">
      <t>タイショ</t>
    </rPh>
    <rPh sb="9" eb="11">
      <t>ヒビ</t>
    </rPh>
    <rPh sb="12" eb="14">
      <t>ジョウキョウ</t>
    </rPh>
    <rPh sb="15" eb="16">
      <t>アサ</t>
    </rPh>
    <rPh sb="17" eb="18">
      <t>ユウ</t>
    </rPh>
    <rPh sb="26" eb="27">
      <t>オコナ</t>
    </rPh>
    <phoneticPr fontId="1"/>
  </si>
  <si>
    <t>環境・
インフラ　</t>
    <rPh sb="0" eb="2">
      <t>カンキョウ</t>
    </rPh>
    <phoneticPr fontId="1"/>
  </si>
  <si>
    <t>課題・問題への早期対処を図る仕組みを作り運用する</t>
    <rPh sb="0" eb="2">
      <t>カダイ</t>
    </rPh>
    <rPh sb="3" eb="5">
      <t>モンダイ</t>
    </rPh>
    <rPh sb="7" eb="9">
      <t>ソウキ</t>
    </rPh>
    <rPh sb="9" eb="11">
      <t>タイショ</t>
    </rPh>
    <rPh sb="12" eb="13">
      <t>ハカ</t>
    </rPh>
    <rPh sb="14" eb="16">
      <t>シク</t>
    </rPh>
    <rPh sb="18" eb="19">
      <t>ツク</t>
    </rPh>
    <rPh sb="20" eb="22">
      <t>ウンヨウ</t>
    </rPh>
    <phoneticPr fontId="1"/>
  </si>
  <si>
    <t>備考</t>
  </si>
  <si>
    <t>業務再開に向けて、被災リソースの復旧方針を決定する、併せて推進体制を構築する</t>
    <rPh sb="0" eb="4">
      <t>ギョウムサイカイ</t>
    </rPh>
    <rPh sb="5" eb="6">
      <t>ム</t>
    </rPh>
    <rPh sb="9" eb="11">
      <t>ヒサイ</t>
    </rPh>
    <rPh sb="16" eb="18">
      <t>フッキュウ</t>
    </rPh>
    <rPh sb="18" eb="20">
      <t>ホウシン</t>
    </rPh>
    <rPh sb="21" eb="23">
      <t>ケッテイ</t>
    </rPh>
    <rPh sb="26" eb="27">
      <t>アワ</t>
    </rPh>
    <rPh sb="29" eb="33">
      <t>スイシンタイセイ</t>
    </rPh>
    <rPh sb="34" eb="36">
      <t>コウチク</t>
    </rPh>
    <phoneticPr fontId="1"/>
  </si>
  <si>
    <t>重要人物（意思決定者）</t>
    <rPh sb="0" eb="2">
      <t>ジュウヨウ</t>
    </rPh>
    <rPh sb="2" eb="4">
      <t>ジンブツ</t>
    </rPh>
    <rPh sb="5" eb="10">
      <t>イシケッテイシャ</t>
    </rPh>
    <phoneticPr fontId="1"/>
  </si>
  <si>
    <t>重要職種要員</t>
    <rPh sb="0" eb="4">
      <t>ジュウヨウショクシュ</t>
    </rPh>
    <rPh sb="4" eb="6">
      <t>ヨウイン</t>
    </rPh>
    <phoneticPr fontId="1"/>
  </si>
  <si>
    <t>主要設備</t>
    <rPh sb="0" eb="4">
      <t>シュヨウセツビ</t>
    </rPh>
    <phoneticPr fontId="1"/>
  </si>
  <si>
    <t>電話</t>
    <rPh sb="0" eb="2">
      <t>デンワ</t>
    </rPh>
    <phoneticPr fontId="1"/>
  </si>
  <si>
    <t>事務所</t>
    <rPh sb="0" eb="3">
      <t>ジムショ</t>
    </rPh>
    <phoneticPr fontId="1"/>
  </si>
  <si>
    <t>BCPの重要性、必要性を理解し、会社としての事業責任を有する</t>
  </si>
  <si>
    <t>企業名</t>
    <rPh sb="0" eb="3">
      <t>キギョウメイ</t>
    </rPh>
    <phoneticPr fontId="1"/>
  </si>
  <si>
    <t>　　BCMの推進体制</t>
    <rPh sb="6" eb="8">
      <t>スイシン</t>
    </rPh>
    <rPh sb="8" eb="10">
      <t>タイセイ</t>
    </rPh>
    <phoneticPr fontId="1"/>
  </si>
  <si>
    <t>事業場（工場・店舗・・・）</t>
    <rPh sb="0" eb="3">
      <t>ジギョウジョウ</t>
    </rPh>
    <rPh sb="4" eb="6">
      <t>コウジョウ</t>
    </rPh>
    <rPh sb="7" eb="9">
      <t>テンポ</t>
    </rPh>
    <phoneticPr fontId="1"/>
  </si>
  <si>
    <t>（自社で育成、支援企業から応援、協力企業に委託・・・・）</t>
    <rPh sb="1" eb="3">
      <t>ジシャ</t>
    </rPh>
    <rPh sb="4" eb="6">
      <t>イクセイ</t>
    </rPh>
    <rPh sb="7" eb="11">
      <t>シエンキギョウ</t>
    </rPh>
    <rPh sb="13" eb="15">
      <t>オウエン</t>
    </rPh>
    <rPh sb="16" eb="20">
      <t>キョウリョクキギョウ</t>
    </rPh>
    <rPh sb="21" eb="23">
      <t>イタク</t>
    </rPh>
    <phoneticPr fontId="1"/>
  </si>
  <si>
    <t>作業項目</t>
    <rPh sb="0" eb="4">
      <t>サギョウコウモク</t>
    </rPh>
    <phoneticPr fontId="1"/>
  </si>
  <si>
    <t>主要原材料</t>
    <rPh sb="0" eb="2">
      <t>シュヨウ</t>
    </rPh>
    <rPh sb="2" eb="5">
      <t>ゲンザイリョウ</t>
    </rPh>
    <phoneticPr fontId="1"/>
  </si>
  <si>
    <t>現地復旧の実施策と事前対策</t>
    <rPh sb="0" eb="4">
      <t>ゲンチフッキュウ</t>
    </rPh>
    <rPh sb="5" eb="8">
      <t>ジッシサク</t>
    </rPh>
    <rPh sb="9" eb="13">
      <t>ジゼンタイサク</t>
    </rPh>
    <phoneticPr fontId="1"/>
  </si>
  <si>
    <t>資源名</t>
    <rPh sb="0" eb="3">
      <t>シゲンメイ</t>
    </rPh>
    <phoneticPr fontId="1"/>
  </si>
  <si>
    <t>治工具</t>
    <rPh sb="0" eb="3">
      <t>ジコウグ</t>
    </rPh>
    <phoneticPr fontId="1"/>
  </si>
  <si>
    <t>副資材</t>
    <rPh sb="0" eb="3">
      <t>フクシザイ</t>
    </rPh>
    <phoneticPr fontId="1"/>
  </si>
  <si>
    <t>有効期限</t>
    <rPh sb="0" eb="4">
      <t>ユウコウキゲン</t>
    </rPh>
    <phoneticPr fontId="1"/>
  </si>
  <si>
    <t>備品</t>
    <rPh sb="0" eb="2">
      <t>ビヒン</t>
    </rPh>
    <phoneticPr fontId="1"/>
  </si>
  <si>
    <t>機械設備の代替（リース、中古機貸与、支援企業から設備借用、協力企業で委託生産・・・・）</t>
    <rPh sb="0" eb="4">
      <t>キカイセツビ</t>
    </rPh>
    <rPh sb="5" eb="7">
      <t>ダイガエ</t>
    </rPh>
    <rPh sb="12" eb="14">
      <t>チュウコ</t>
    </rPh>
    <rPh sb="14" eb="15">
      <t>キ</t>
    </rPh>
    <rPh sb="15" eb="17">
      <t>タイヨ</t>
    </rPh>
    <rPh sb="18" eb="22">
      <t>シエンキギョウ</t>
    </rPh>
    <rPh sb="24" eb="26">
      <t>セツビ</t>
    </rPh>
    <rPh sb="26" eb="28">
      <t>シャクヨウ</t>
    </rPh>
    <rPh sb="29" eb="33">
      <t>キョウリョクキギョウ</t>
    </rPh>
    <rPh sb="34" eb="38">
      <t>イタクセイサン</t>
    </rPh>
    <phoneticPr fontId="1"/>
  </si>
  <si>
    <t>ヒト、モノ（建物・施設、原材料・資材、設備、治工具、備品・・）、情報、</t>
    <rPh sb="6" eb="8">
      <t>タテモノ</t>
    </rPh>
    <rPh sb="9" eb="11">
      <t>シセツ</t>
    </rPh>
    <rPh sb="12" eb="13">
      <t>ゲン</t>
    </rPh>
    <rPh sb="13" eb="15">
      <t>ザイリョウ</t>
    </rPh>
    <rPh sb="16" eb="18">
      <t>シザイ</t>
    </rPh>
    <rPh sb="19" eb="21">
      <t>セツビ</t>
    </rPh>
    <rPh sb="22" eb="25">
      <t>ジコウグ</t>
    </rPh>
    <rPh sb="26" eb="28">
      <t>ビヒン</t>
    </rPh>
    <rPh sb="32" eb="34">
      <t>ジョウホウ</t>
    </rPh>
    <phoneticPr fontId="1"/>
  </si>
  <si>
    <t>事前に確認・準備しておくこと</t>
    <rPh sb="0" eb="2">
      <t>ジゼン</t>
    </rPh>
    <rPh sb="3" eb="5">
      <t>カクニン</t>
    </rPh>
    <rPh sb="6" eb="8">
      <t>ジュンビ</t>
    </rPh>
    <phoneticPr fontId="1"/>
  </si>
  <si>
    <t>対策実施による期待効果を具体的に</t>
    <rPh sb="0" eb="4">
      <t>タイサクジッシ</t>
    </rPh>
    <rPh sb="7" eb="11">
      <t>キタイコウカ</t>
    </rPh>
    <rPh sb="12" eb="15">
      <t>グタイテキ</t>
    </rPh>
    <phoneticPr fontId="1"/>
  </si>
  <si>
    <t>どのような脅威を対象に行うのか（特定またはオールハザード）</t>
    <rPh sb="5" eb="7">
      <t>キョウイ</t>
    </rPh>
    <rPh sb="8" eb="10">
      <t>タイショウ</t>
    </rPh>
    <rPh sb="11" eb="12">
      <t>オコナ</t>
    </rPh>
    <rPh sb="16" eb="18">
      <t>トクテイ</t>
    </rPh>
    <phoneticPr fontId="1"/>
  </si>
  <si>
    <t>修理資材有無</t>
    <rPh sb="0" eb="4">
      <t>シュウリシザイ</t>
    </rPh>
    <rPh sb="4" eb="6">
      <t>ウム</t>
    </rPh>
    <phoneticPr fontId="1"/>
  </si>
  <si>
    <t>誰が担当してこの対策を実施するのか</t>
    <rPh sb="0" eb="1">
      <t>ダレ</t>
    </rPh>
    <rPh sb="2" eb="4">
      <t>タントウ</t>
    </rPh>
    <rPh sb="8" eb="10">
      <t>タイサク</t>
    </rPh>
    <rPh sb="11" eb="13">
      <t>ジッシ</t>
    </rPh>
    <phoneticPr fontId="1"/>
  </si>
  <si>
    <t>【被害状況の把握：中間報告】</t>
    <rPh sb="9" eb="13">
      <t>チュウカンホウコク</t>
    </rPh>
    <phoneticPr fontId="1"/>
  </si>
  <si>
    <t>　従業員の安否確認詳細（無事、出社可能、けが人、家族の状況など）</t>
    <rPh sb="1" eb="4">
      <t>ジュウギョウイン</t>
    </rPh>
    <rPh sb="5" eb="9">
      <t>アンピカクニン</t>
    </rPh>
    <rPh sb="9" eb="11">
      <t>ショウサイ</t>
    </rPh>
    <rPh sb="12" eb="14">
      <t>ブジ</t>
    </rPh>
    <rPh sb="15" eb="19">
      <t>シュッシャカノウ</t>
    </rPh>
    <rPh sb="22" eb="23">
      <t>ニン</t>
    </rPh>
    <rPh sb="24" eb="26">
      <t>カゾク</t>
    </rPh>
    <rPh sb="27" eb="29">
      <t>ジョウキョウ</t>
    </rPh>
    <phoneticPr fontId="1"/>
  </si>
  <si>
    <t>　建物被害（建物名、被害状況、立入可否、重要業務への影響度）</t>
    <rPh sb="1" eb="5">
      <t>タテモノヒガイ</t>
    </rPh>
    <rPh sb="6" eb="9">
      <t>タテモノメイ</t>
    </rPh>
    <rPh sb="10" eb="14">
      <t>ヒガイジョウキョウ</t>
    </rPh>
    <rPh sb="15" eb="19">
      <t>タチイリカヒ</t>
    </rPh>
    <rPh sb="20" eb="24">
      <t>ジュウヨウギョウム</t>
    </rPh>
    <rPh sb="26" eb="29">
      <t>エイキョウド</t>
    </rPh>
    <phoneticPr fontId="1"/>
  </si>
  <si>
    <t>　物流・交通状況（通常経路の可否、代替ルートの可否、特記事項）</t>
    <rPh sb="1" eb="3">
      <t>ブツリュウ</t>
    </rPh>
    <rPh sb="4" eb="8">
      <t>コウツウジョウキョウ</t>
    </rPh>
    <rPh sb="9" eb="13">
      <t>ツウジョウケイロ</t>
    </rPh>
    <rPh sb="14" eb="16">
      <t>カヒ</t>
    </rPh>
    <rPh sb="17" eb="19">
      <t>ダイガエ</t>
    </rPh>
    <rPh sb="23" eb="25">
      <t>カヒ</t>
    </rPh>
    <rPh sb="26" eb="30">
      <t>トッキジコウ</t>
    </rPh>
    <phoneticPr fontId="1"/>
  </si>
  <si>
    <t>【被害状況の把握：詳細報告】</t>
    <rPh sb="1" eb="5">
      <t>ヒガイジョウキョウ</t>
    </rPh>
    <rPh sb="6" eb="8">
      <t>ハアク</t>
    </rPh>
    <rPh sb="9" eb="11">
      <t>ショウサイ</t>
    </rPh>
    <rPh sb="11" eb="13">
      <t>ホウコク</t>
    </rPh>
    <phoneticPr fontId="1"/>
  </si>
  <si>
    <t>　　チェックリスト形式で確認を行う</t>
    <rPh sb="9" eb="11">
      <t>ケイシキ</t>
    </rPh>
    <rPh sb="12" eb="14">
      <t>カクニン</t>
    </rPh>
    <rPh sb="15" eb="16">
      <t>オコナ</t>
    </rPh>
    <phoneticPr fontId="1"/>
  </si>
  <si>
    <t>　　優先業務に関わるリソースについて詳細な被災状況の把握を行う</t>
    <rPh sb="2" eb="4">
      <t>ユウセン</t>
    </rPh>
    <rPh sb="4" eb="6">
      <t>ギョウム</t>
    </rPh>
    <rPh sb="7" eb="8">
      <t>カカ</t>
    </rPh>
    <rPh sb="18" eb="20">
      <t>ショウサイ</t>
    </rPh>
    <rPh sb="21" eb="25">
      <t>ヒサイジョウキョウ</t>
    </rPh>
    <rPh sb="26" eb="28">
      <t>ハアク</t>
    </rPh>
    <rPh sb="29" eb="30">
      <t>オコナ</t>
    </rPh>
    <phoneticPr fontId="1"/>
  </si>
  <si>
    <t>評価結果</t>
    <rPh sb="0" eb="2">
      <t>ヒョウカ</t>
    </rPh>
    <rPh sb="2" eb="4">
      <t>ケッカ</t>
    </rPh>
    <phoneticPr fontId="1"/>
  </si>
  <si>
    <t>●事前対策</t>
    <rPh sb="1" eb="5">
      <t>ジゼンタイサク</t>
    </rPh>
    <phoneticPr fontId="1"/>
  </si>
  <si>
    <t>影響や再開見込</t>
    <rPh sb="0" eb="2">
      <t>エイキョウ</t>
    </rPh>
    <rPh sb="3" eb="5">
      <t>サイカイ</t>
    </rPh>
    <rPh sb="5" eb="7">
      <t>ミコ</t>
    </rPh>
    <phoneticPr fontId="1"/>
  </si>
  <si>
    <t>自社のみならず関連する被災状況などを確認し、どのように事業を再開するか</t>
    <rPh sb="0" eb="2">
      <t>ジシャ</t>
    </rPh>
    <rPh sb="7" eb="9">
      <t>カンレン</t>
    </rPh>
    <rPh sb="11" eb="15">
      <t>ヒサイジョウキョウ</t>
    </rPh>
    <rPh sb="18" eb="20">
      <t>カクニン</t>
    </rPh>
    <rPh sb="27" eb="29">
      <t>ジギョウ</t>
    </rPh>
    <rPh sb="30" eb="32">
      <t>サイカイ</t>
    </rPh>
    <phoneticPr fontId="1"/>
  </si>
  <si>
    <t>初動対応手順と事前対策</t>
    <rPh sb="0" eb="4">
      <t>ショドウタイオウ</t>
    </rPh>
    <rPh sb="4" eb="6">
      <t>テジュン</t>
    </rPh>
    <rPh sb="7" eb="11">
      <t>ジゼンタイサク</t>
    </rPh>
    <phoneticPr fontId="1"/>
  </si>
  <si>
    <t>出社可能時期</t>
    <rPh sb="0" eb="2">
      <t>シュッシャ</t>
    </rPh>
    <rPh sb="2" eb="6">
      <t>カノウジキ</t>
    </rPh>
    <phoneticPr fontId="1"/>
  </si>
  <si>
    <t>次回への改善点</t>
    <rPh sb="0" eb="2">
      <t>ジカイ</t>
    </rPh>
    <rPh sb="4" eb="7">
      <t>カイゼンテン</t>
    </rPh>
    <phoneticPr fontId="1"/>
  </si>
  <si>
    <t>主催者
（説明者）</t>
  </si>
  <si>
    <t>訓練項目（訓練テーマ）</t>
    <rPh sb="0" eb="2">
      <t>クンレン</t>
    </rPh>
    <rPh sb="2" eb="4">
      <t>コウモク</t>
    </rPh>
    <rPh sb="5" eb="7">
      <t>クンレン</t>
    </rPh>
    <phoneticPr fontId="1"/>
  </si>
  <si>
    <t>訓練実施内容</t>
    <rPh sb="0" eb="4">
      <t>クンレンジッシ</t>
    </rPh>
    <rPh sb="4" eb="6">
      <t>ナイヨウ</t>
    </rPh>
    <phoneticPr fontId="1"/>
  </si>
  <si>
    <t>マルチハザードへの対応</t>
    <rPh sb="9" eb="11">
      <t>タイオウ</t>
    </rPh>
    <phoneticPr fontId="1"/>
  </si>
  <si>
    <t>予算</t>
    <rPh sb="0" eb="2">
      <t>ヨサン</t>
    </rPh>
    <phoneticPr fontId="1"/>
  </si>
  <si>
    <t>対象者</t>
  </si>
  <si>
    <t>必要な教育</t>
  </si>
  <si>
    <t>経営者</t>
  </si>
  <si>
    <t>BCP要員</t>
  </si>
  <si>
    <t>現状レベル</t>
    <rPh sb="0" eb="2">
      <t>ゲンジョウ</t>
    </rPh>
    <phoneticPr fontId="1"/>
  </si>
  <si>
    <t>一般社員</t>
  </si>
  <si>
    <t>事前対策の実施計画管理表</t>
    <rPh sb="0" eb="4">
      <t>ジゼンタイサク</t>
    </rPh>
    <rPh sb="5" eb="9">
      <t>ジッシケイカク</t>
    </rPh>
    <rPh sb="9" eb="12">
      <t>カンリヒョウ</t>
    </rPh>
    <phoneticPr fontId="1"/>
  </si>
  <si>
    <t>様式１１　　代替・企業連携手段の実施と事前対策</t>
    <rPh sb="0" eb="2">
      <t>ヨウシキ</t>
    </rPh>
    <rPh sb="6" eb="8">
      <t>ダイガエ</t>
    </rPh>
    <rPh sb="9" eb="11">
      <t>キギョウ</t>
    </rPh>
    <rPh sb="11" eb="13">
      <t>レンケイ</t>
    </rPh>
    <rPh sb="13" eb="15">
      <t>シュダン</t>
    </rPh>
    <rPh sb="16" eb="18">
      <t>ジッシ</t>
    </rPh>
    <rPh sb="19" eb="21">
      <t>ジゼン</t>
    </rPh>
    <rPh sb="21" eb="23">
      <t>タイサク</t>
    </rPh>
    <phoneticPr fontId="1"/>
  </si>
  <si>
    <t>№</t>
  </si>
  <si>
    <t>教育コンテンツ名</t>
  </si>
  <si>
    <t>③インフラ（電気・ガス・水道・電話・携帯）被害</t>
    <rPh sb="6" eb="8">
      <t>デンキ</t>
    </rPh>
    <rPh sb="12" eb="14">
      <t>スイドウ</t>
    </rPh>
    <rPh sb="15" eb="17">
      <t>デンワ</t>
    </rPh>
    <rPh sb="18" eb="20">
      <t>ケイタイ</t>
    </rPh>
    <rPh sb="21" eb="23">
      <t>ヒガイ</t>
    </rPh>
    <phoneticPr fontId="1"/>
  </si>
  <si>
    <t>テキスト名</t>
  </si>
  <si>
    <t>売上停止
許容期間</t>
  </si>
  <si>
    <t>評価方法</t>
  </si>
  <si>
    <t>教育時間</t>
  </si>
  <si>
    <t>賠償責任保険</t>
    <rPh sb="0" eb="6">
      <t>バイショウセキニンホケン</t>
    </rPh>
    <phoneticPr fontId="1"/>
  </si>
  <si>
    <t>【対象者】</t>
  </si>
  <si>
    <t>スキル№</t>
  </si>
  <si>
    <t>役割</t>
  </si>
  <si>
    <t>経営者のもと、会社としてのBCP活動を行う</t>
  </si>
  <si>
    <t>必要な訓練・演習</t>
  </si>
  <si>
    <t>訓練・演習名</t>
  </si>
  <si>
    <t>代替方法・機種</t>
    <rPh sb="0" eb="2">
      <t>ダイガエ</t>
    </rPh>
    <rPh sb="2" eb="4">
      <t>ホウホウ</t>
    </rPh>
    <rPh sb="5" eb="7">
      <t>キシュ</t>
    </rPh>
    <phoneticPr fontId="1"/>
  </si>
  <si>
    <t>訓練・演習内容</t>
  </si>
  <si>
    <t>区分</t>
  </si>
  <si>
    <t>現地復旧実施検討表（事前対策として計画的に準備しておく）</t>
    <rPh sb="0" eb="2">
      <t>ジゼン</t>
    </rPh>
    <rPh sb="4" eb="6">
      <t>ジッシ</t>
    </rPh>
    <rPh sb="10" eb="12">
      <t>ジゼン</t>
    </rPh>
    <rPh sb="12" eb="14">
      <t>タイサク</t>
    </rPh>
    <rPh sb="17" eb="20">
      <t>ケイカクテキ</t>
    </rPh>
    <rPh sb="21" eb="23">
      <t>ジュンビ</t>
    </rPh>
    <phoneticPr fontId="1"/>
  </si>
  <si>
    <t>実施時間</t>
  </si>
  <si>
    <t>講師</t>
    <rPh sb="0" eb="2">
      <t>コウシ</t>
    </rPh>
    <phoneticPr fontId="1"/>
  </si>
  <si>
    <t>東名高速</t>
    <rPh sb="0" eb="2">
      <t>トウメイ</t>
    </rPh>
    <rPh sb="2" eb="4">
      <t>コウソク</t>
    </rPh>
    <phoneticPr fontId="1"/>
  </si>
  <si>
    <t>役割・区分</t>
    <rPh sb="0" eb="2">
      <t>ヤクワリ</t>
    </rPh>
    <rPh sb="3" eb="5">
      <t>クブン</t>
    </rPh>
    <phoneticPr fontId="1"/>
  </si>
  <si>
    <t>復旧担当</t>
    <rPh sb="0" eb="2">
      <t>フッキュウ</t>
    </rPh>
    <rPh sb="2" eb="4">
      <t>タントウ</t>
    </rPh>
    <phoneticPr fontId="1"/>
  </si>
  <si>
    <t>※　評価対応メンバー　は 役員を含むBCM推進チームメンバー</t>
  </si>
  <si>
    <t>被災状況報告（速報版）　原則２４時間以内に報告</t>
    <rPh sb="0" eb="6">
      <t>ヒサイジョウキョウホウコク</t>
    </rPh>
    <rPh sb="7" eb="9">
      <t>ソクホウ</t>
    </rPh>
    <rPh sb="9" eb="10">
      <t>バン</t>
    </rPh>
    <rPh sb="12" eb="14">
      <t>ゲンソク</t>
    </rPh>
    <rPh sb="16" eb="17">
      <t>ジ</t>
    </rPh>
    <rPh sb="17" eb="20">
      <t>カンイナイ</t>
    </rPh>
    <rPh sb="21" eb="23">
      <t>ホウコク</t>
    </rPh>
    <phoneticPr fontId="1"/>
  </si>
  <si>
    <t>事業継続戦略（事業継続の方向性）</t>
    <rPh sb="0" eb="6">
      <t>ジギョウケイゾクセンリャク</t>
    </rPh>
    <rPh sb="7" eb="9">
      <t>ジギョウ</t>
    </rPh>
    <rPh sb="9" eb="11">
      <t>ケイゾク</t>
    </rPh>
    <rPh sb="12" eb="15">
      <t>ホウコウセイ</t>
    </rPh>
    <phoneticPr fontId="1"/>
  </si>
  <si>
    <t>報告事項：</t>
    <rPh sb="0" eb="4">
      <t>ホウコクジコウ</t>
    </rPh>
    <phoneticPr fontId="1"/>
  </si>
  <si>
    <t>従業員の安否・怪我人、不明者：　　あり　・　なし　・　調査中</t>
    <rPh sb="0" eb="3">
      <t>ジュウギョウイン</t>
    </rPh>
    <rPh sb="4" eb="6">
      <t>アンピ</t>
    </rPh>
    <rPh sb="7" eb="10">
      <t>ケガニン</t>
    </rPh>
    <rPh sb="11" eb="14">
      <t>フメイシャ</t>
    </rPh>
    <rPh sb="27" eb="30">
      <t>チョウサチュウ</t>
    </rPh>
    <phoneticPr fontId="1"/>
  </si>
  <si>
    <t>派遣</t>
    <rPh sb="0" eb="2">
      <t>ハケン</t>
    </rPh>
    <phoneticPr fontId="1"/>
  </si>
  <si>
    <t>その他特記事項：　</t>
    <rPh sb="2" eb="3">
      <t>タ</t>
    </rPh>
    <rPh sb="3" eb="7">
      <t>トッキジコウ</t>
    </rPh>
    <phoneticPr fontId="1"/>
  </si>
  <si>
    <t>報告事業所：</t>
  </si>
  <si>
    <t>備　　考</t>
    <rPh sb="0" eb="1">
      <t>ビ</t>
    </rPh>
    <rPh sb="3" eb="4">
      <t>コウ</t>
    </rPh>
    <phoneticPr fontId="1"/>
  </si>
  <si>
    <t>④近隣交通状況</t>
    <rPh sb="1" eb="3">
      <t>キンリン</t>
    </rPh>
    <rPh sb="3" eb="5">
      <t>コウツウ</t>
    </rPh>
    <rPh sb="5" eb="7">
      <t>ジョウキョウ</t>
    </rPh>
    <phoneticPr fontId="1"/>
  </si>
  <si>
    <t>特記事項</t>
    <rPh sb="0" eb="4">
      <t>トッキジコウ</t>
    </rPh>
    <phoneticPr fontId="1"/>
  </si>
  <si>
    <t>自社・支援企業</t>
    <rPh sb="0" eb="2">
      <t>ジシャ</t>
    </rPh>
    <rPh sb="3" eb="7">
      <t>シエンキギョウ</t>
    </rPh>
    <phoneticPr fontId="1"/>
  </si>
  <si>
    <t>従業員部門</t>
    <rPh sb="0" eb="3">
      <t>ジュウギョウイン</t>
    </rPh>
    <rPh sb="3" eb="5">
      <t>ブモン</t>
    </rPh>
    <phoneticPr fontId="1"/>
  </si>
  <si>
    <t>製造</t>
    <rPh sb="0" eb="2">
      <t>セイゾウ</t>
    </rPh>
    <phoneticPr fontId="1"/>
  </si>
  <si>
    <t>着手日</t>
    <rPh sb="0" eb="3">
      <t>チャクシュビ</t>
    </rPh>
    <phoneticPr fontId="1"/>
  </si>
  <si>
    <t>検査</t>
    <rPh sb="0" eb="2">
      <t>ケンサ</t>
    </rPh>
    <phoneticPr fontId="1"/>
  </si>
  <si>
    <t>支援企業・代替協力企業</t>
    <rPh sb="0" eb="2">
      <t>シエン</t>
    </rPh>
    <rPh sb="2" eb="4">
      <t>キギョウ</t>
    </rPh>
    <phoneticPr fontId="1"/>
  </si>
  <si>
    <t>必要費用</t>
    <rPh sb="0" eb="4">
      <t>ヒツヨウヒヨウ</t>
    </rPh>
    <phoneticPr fontId="1"/>
  </si>
  <si>
    <t>融資期待額（千円）</t>
    <rPh sb="0" eb="5">
      <t>ユウシキタイガク</t>
    </rPh>
    <rPh sb="6" eb="8">
      <t>センエン</t>
    </rPh>
    <phoneticPr fontId="1"/>
  </si>
  <si>
    <t>パート</t>
  </si>
  <si>
    <t>①従業員安否確認</t>
    <rPh sb="1" eb="4">
      <t>ジュウギョウイン</t>
    </rPh>
    <rPh sb="4" eb="6">
      <t>アンピ</t>
    </rPh>
    <rPh sb="6" eb="8">
      <t>カクニン</t>
    </rPh>
    <phoneticPr fontId="1"/>
  </si>
  <si>
    <t>本社事務所</t>
    <rPh sb="0" eb="2">
      <t>ホンシャ</t>
    </rPh>
    <rPh sb="2" eb="5">
      <t>ジムショ</t>
    </rPh>
    <phoneticPr fontId="1"/>
  </si>
  <si>
    <t>資材倉庫</t>
    <rPh sb="0" eb="4">
      <t>シザイソウコ</t>
    </rPh>
    <phoneticPr fontId="1"/>
  </si>
  <si>
    <t>代替対応の準備状況</t>
    <rPh sb="0" eb="2">
      <t>ダイガエ</t>
    </rPh>
    <rPh sb="2" eb="4">
      <t>タイオウ</t>
    </rPh>
    <rPh sb="5" eb="9">
      <t>ジュンビジョウキョウ</t>
    </rPh>
    <phoneticPr fontId="1"/>
  </si>
  <si>
    <t>完成品</t>
    <rPh sb="0" eb="3">
      <t>カンセイヒン</t>
    </rPh>
    <phoneticPr fontId="1"/>
  </si>
  <si>
    <t>被災箇所</t>
    <rPh sb="0" eb="4">
      <t>ヒサイカショ</t>
    </rPh>
    <phoneticPr fontId="1"/>
  </si>
  <si>
    <t>可　・　否</t>
  </si>
  <si>
    <t>製品倉庫</t>
    <rPh sb="0" eb="4">
      <t>セイヒンソウコ</t>
    </rPh>
    <phoneticPr fontId="1"/>
  </si>
  <si>
    <t>供給</t>
    <rPh sb="0" eb="2">
      <t>キョウキュウ</t>
    </rPh>
    <phoneticPr fontId="1"/>
  </si>
  <si>
    <t>電気</t>
    <rPh sb="0" eb="2">
      <t>デンキ</t>
    </rPh>
    <phoneticPr fontId="1"/>
  </si>
  <si>
    <t>水道</t>
    <rPh sb="0" eb="2">
      <t>スイドウ</t>
    </rPh>
    <phoneticPr fontId="1"/>
  </si>
  <si>
    <t>種別</t>
    <rPh sb="0" eb="2">
      <t>シュベツ</t>
    </rPh>
    <phoneticPr fontId="1"/>
  </si>
  <si>
    <t>通行</t>
    <rPh sb="0" eb="2">
      <t>ツウコウ</t>
    </rPh>
    <phoneticPr fontId="1"/>
  </si>
  <si>
    <t>本社前</t>
    <rPh sb="0" eb="3">
      <t>ホンシャマエ</t>
    </rPh>
    <phoneticPr fontId="1"/>
  </si>
  <si>
    <t>参加報告（満足度、目的達成度など）</t>
    <rPh sb="0" eb="4">
      <t>サンカホウコク</t>
    </rPh>
    <rPh sb="5" eb="8">
      <t>マンゾクド</t>
    </rPh>
    <rPh sb="9" eb="14">
      <t>モクテキタッセイド</t>
    </rPh>
    <phoneticPr fontId="1"/>
  </si>
  <si>
    <t>国道</t>
    <rPh sb="0" eb="2">
      <t>コクドウ</t>
    </rPh>
    <phoneticPr fontId="1"/>
  </si>
  <si>
    <t>備　　　考</t>
    <rPh sb="0" eb="1">
      <t>ビ</t>
    </rPh>
    <rPh sb="4" eb="5">
      <t>コウ</t>
    </rPh>
    <phoneticPr fontId="1"/>
  </si>
  <si>
    <t>※　組織横断的な体制が望ましい。備考は危機時の役割などに利用</t>
  </si>
  <si>
    <t>2日前</t>
    <rPh sb="1" eb="3">
      <t>ニチマエ</t>
    </rPh>
    <phoneticPr fontId="1"/>
  </si>
  <si>
    <t>②設備・機械等の被災状況</t>
    <rPh sb="1" eb="3">
      <t>セツビ</t>
    </rPh>
    <rPh sb="4" eb="6">
      <t>キカイ</t>
    </rPh>
    <rPh sb="6" eb="7">
      <t>トウ</t>
    </rPh>
    <rPh sb="8" eb="10">
      <t>ヒサイ</t>
    </rPh>
    <rPh sb="10" eb="12">
      <t>ジョウキョウ</t>
    </rPh>
    <phoneticPr fontId="1"/>
  </si>
  <si>
    <t>①出社不能者と出社見込み（詳細）</t>
    <rPh sb="1" eb="3">
      <t>シュッシャ</t>
    </rPh>
    <rPh sb="3" eb="5">
      <t>フノウ</t>
    </rPh>
    <rPh sb="5" eb="6">
      <t>シャ</t>
    </rPh>
    <rPh sb="7" eb="9">
      <t>シュッシャ</t>
    </rPh>
    <rPh sb="9" eb="11">
      <t>ミコ</t>
    </rPh>
    <rPh sb="13" eb="15">
      <t>ショウサイ</t>
    </rPh>
    <phoneticPr fontId="1"/>
  </si>
  <si>
    <t>拠点の代替</t>
    <rPh sb="0" eb="2">
      <t>キョテン</t>
    </rPh>
    <rPh sb="3" eb="5">
      <t>ダイガエ</t>
    </rPh>
    <phoneticPr fontId="1"/>
  </si>
  <si>
    <t>設備・機械名</t>
    <rPh sb="0" eb="2">
      <t>セツビ</t>
    </rPh>
    <rPh sb="3" eb="6">
      <t>キカイメイ</t>
    </rPh>
    <phoneticPr fontId="1"/>
  </si>
  <si>
    <t>利用工程</t>
    <rPh sb="0" eb="2">
      <t>リヨウ</t>
    </rPh>
    <rPh sb="2" eb="4">
      <t>コウテイ</t>
    </rPh>
    <phoneticPr fontId="1"/>
  </si>
  <si>
    <t>代替の考え方</t>
    <rPh sb="0" eb="2">
      <t>ダイガエ</t>
    </rPh>
    <rPh sb="3" eb="4">
      <t>カンガ</t>
    </rPh>
    <rPh sb="5" eb="6">
      <t>カタ</t>
    </rPh>
    <phoneticPr fontId="1"/>
  </si>
  <si>
    <t>復旧可否</t>
    <rPh sb="0" eb="4">
      <t>フッキュウカヒ</t>
    </rPh>
    <phoneticPr fontId="1"/>
  </si>
  <si>
    <t>技術部代表</t>
    <rPh sb="0" eb="2">
      <t>ギジュツ</t>
    </rPh>
    <rPh sb="2" eb="3">
      <t>ブ</t>
    </rPh>
    <rPh sb="3" eb="5">
      <t>ダイヒョウ</t>
    </rPh>
    <phoneticPr fontId="1"/>
  </si>
  <si>
    <t>保管場所</t>
    <rPh sb="0" eb="4">
      <t>ホカンバショ</t>
    </rPh>
    <phoneticPr fontId="1"/>
  </si>
  <si>
    <t>被災状況報告（第３報）　業務被害詳細（８４時間以内）</t>
    <rPh sb="0" eb="4">
      <t>ヒサイジョウキョウ</t>
    </rPh>
    <rPh sb="4" eb="6">
      <t>ホウコク</t>
    </rPh>
    <rPh sb="7" eb="8">
      <t>ダイ</t>
    </rPh>
    <rPh sb="9" eb="10">
      <t>ホウ</t>
    </rPh>
    <rPh sb="12" eb="14">
      <t>ギョウム</t>
    </rPh>
    <rPh sb="14" eb="18">
      <t>ヒガイショウサイ</t>
    </rPh>
    <rPh sb="21" eb="23">
      <t>ジカン</t>
    </rPh>
    <rPh sb="23" eb="25">
      <t>イナイ</t>
    </rPh>
    <phoneticPr fontId="1"/>
  </si>
  <si>
    <t>保険支払額（千円）</t>
    <rPh sb="0" eb="2">
      <t>ホケン</t>
    </rPh>
    <rPh sb="2" eb="4">
      <t>シハラ</t>
    </rPh>
    <rPh sb="4" eb="5">
      <t>ガク</t>
    </rPh>
    <rPh sb="6" eb="8">
      <t>センエン</t>
    </rPh>
    <phoneticPr fontId="1"/>
  </si>
  <si>
    <t>金額（千円）</t>
  </si>
  <si>
    <t>自社所有の物件（空き地、社長の私有地など）</t>
    <rPh sb="0" eb="4">
      <t>ジシャショユウ</t>
    </rPh>
    <rPh sb="5" eb="7">
      <t>ブッケン</t>
    </rPh>
    <rPh sb="8" eb="9">
      <t>ア</t>
    </rPh>
    <rPh sb="10" eb="11">
      <t>チ</t>
    </rPh>
    <rPh sb="12" eb="14">
      <t>シャチョウ</t>
    </rPh>
    <rPh sb="15" eb="18">
      <t>シユウチ</t>
    </rPh>
    <phoneticPr fontId="1"/>
  </si>
  <si>
    <t>　政府系金融機関</t>
    <rPh sb="1" eb="4">
      <t>セイフケイ</t>
    </rPh>
    <rPh sb="4" eb="8">
      <t>キンユウキカン</t>
    </rPh>
    <phoneticPr fontId="1"/>
  </si>
  <si>
    <t>　静岡県BCP特別保証</t>
    <rPh sb="1" eb="4">
      <t>シズオカケン</t>
    </rPh>
    <rPh sb="7" eb="11">
      <t>トクベツホショウ</t>
    </rPh>
    <phoneticPr fontId="1"/>
  </si>
  <si>
    <t>保険金額（千円）</t>
    <rPh sb="0" eb="4">
      <t>ホケンキンガク</t>
    </rPh>
    <rPh sb="5" eb="7">
      <t>センエン</t>
    </rPh>
    <phoneticPr fontId="1"/>
  </si>
  <si>
    <t>中小企業庁のサイトを参照　</t>
    <rPh sb="0" eb="5">
      <t>チュウショウキギョウチョウ</t>
    </rPh>
    <rPh sb="10" eb="12">
      <t>サンショウ</t>
    </rPh>
    <phoneticPr fontId="1"/>
  </si>
  <si>
    <t>⑥その他特記事項</t>
    <rPh sb="3" eb="4">
      <t>タ</t>
    </rPh>
    <rPh sb="4" eb="8">
      <t>トッキジコウ</t>
    </rPh>
    <phoneticPr fontId="1"/>
  </si>
  <si>
    <t>⑤主要顧客企業の被災状況</t>
    <rPh sb="1" eb="3">
      <t>シュヨウ</t>
    </rPh>
    <rPh sb="3" eb="5">
      <t>コキャク</t>
    </rPh>
    <rPh sb="5" eb="7">
      <t>キギョウ</t>
    </rPh>
    <rPh sb="8" eb="10">
      <t>ヒサイ</t>
    </rPh>
    <rPh sb="10" eb="12">
      <t>ジョウキョウ</t>
    </rPh>
    <phoneticPr fontId="1"/>
  </si>
  <si>
    <t>目標納期</t>
    <rPh sb="0" eb="4">
      <t>モクヒョウノウキ</t>
    </rPh>
    <phoneticPr fontId="1"/>
  </si>
  <si>
    <t>対応内容</t>
    <rPh sb="0" eb="2">
      <t>タイオウ</t>
    </rPh>
    <rPh sb="2" eb="4">
      <t>ナイヨウ</t>
    </rPh>
    <phoneticPr fontId="1"/>
  </si>
  <si>
    <t>実施体制</t>
    <rPh sb="0" eb="2">
      <t>ジッシ</t>
    </rPh>
    <rPh sb="2" eb="4">
      <t>タイセイ</t>
    </rPh>
    <phoneticPr fontId="1"/>
  </si>
  <si>
    <t>　　　　年　　　月　　　日</t>
    <rPh sb="4" eb="5">
      <t>ネン</t>
    </rPh>
    <rPh sb="8" eb="9">
      <t>ゲツ</t>
    </rPh>
    <rPh sb="12" eb="13">
      <t>ヒ</t>
    </rPh>
    <phoneticPr fontId="1"/>
  </si>
  <si>
    <t>代替対策の場合の確認は支援先企業と連携をとり、以下の内容を確認しておくことが重要です。</t>
    <rPh sb="0" eb="2">
      <t>ダイガエ</t>
    </rPh>
    <rPh sb="2" eb="4">
      <t>タイサク</t>
    </rPh>
    <rPh sb="5" eb="7">
      <t>バアイ</t>
    </rPh>
    <rPh sb="8" eb="10">
      <t>カクニン</t>
    </rPh>
    <rPh sb="11" eb="14">
      <t>シエンサキ</t>
    </rPh>
    <rPh sb="14" eb="16">
      <t>キギョウ</t>
    </rPh>
    <rPh sb="17" eb="19">
      <t>レンケイ</t>
    </rPh>
    <rPh sb="23" eb="25">
      <t>イカ</t>
    </rPh>
    <rPh sb="26" eb="28">
      <t>ナイヨウ</t>
    </rPh>
    <rPh sb="29" eb="31">
      <t>カクニン</t>
    </rPh>
    <rPh sb="38" eb="40">
      <t>ジュウヨウ</t>
    </rPh>
    <phoneticPr fontId="1"/>
  </si>
  <si>
    <t>対策概要（実施内容）</t>
    <rPh sb="0" eb="4">
      <t>タイサクガイヨウ</t>
    </rPh>
    <rPh sb="5" eb="9">
      <t>ジッシナイヨウ</t>
    </rPh>
    <phoneticPr fontId="1"/>
  </si>
  <si>
    <t>完了日</t>
    <rPh sb="0" eb="3">
      <t>カンリョウビ</t>
    </rPh>
    <phoneticPr fontId="1"/>
  </si>
  <si>
    <t>実績費用</t>
    <rPh sb="0" eb="4">
      <t>ジッセキヒヨウ</t>
    </rPh>
    <phoneticPr fontId="1"/>
  </si>
  <si>
    <t>拠点名</t>
    <rPh sb="0" eb="3">
      <t>キョテンメイ</t>
    </rPh>
    <phoneticPr fontId="1"/>
  </si>
  <si>
    <t>顧客企業名</t>
    <rPh sb="0" eb="2">
      <t>コキャク</t>
    </rPh>
    <rPh sb="2" eb="4">
      <t>キギョウ</t>
    </rPh>
    <rPh sb="4" eb="5">
      <t>メイ</t>
    </rPh>
    <phoneticPr fontId="1"/>
  </si>
  <si>
    <t>代替拠点の場合</t>
    <rPh sb="0" eb="4">
      <t>ダイガエキョテン</t>
    </rPh>
    <rPh sb="5" eb="7">
      <t>バアイ</t>
    </rPh>
    <phoneticPr fontId="1"/>
  </si>
  <si>
    <t>被害内容</t>
    <rPh sb="0" eb="2">
      <t>ヒガイ</t>
    </rPh>
    <rPh sb="2" eb="4">
      <t>ナイヨウ</t>
    </rPh>
    <phoneticPr fontId="1"/>
  </si>
  <si>
    <t>現地復旧方針</t>
    <rPh sb="0" eb="2">
      <t>ゲンチ</t>
    </rPh>
    <rPh sb="2" eb="4">
      <t>フッキュウ</t>
    </rPh>
    <rPh sb="4" eb="6">
      <t>ホウシン</t>
    </rPh>
    <phoneticPr fontId="1"/>
  </si>
  <si>
    <t>想定脅威</t>
    <rPh sb="0" eb="2">
      <t>ソウテイ</t>
    </rPh>
    <rPh sb="2" eb="4">
      <t>キョウイ</t>
    </rPh>
    <phoneticPr fontId="1"/>
  </si>
  <si>
    <t>修理工具有無</t>
    <rPh sb="0" eb="4">
      <t>シュウリコウグ</t>
    </rPh>
    <rPh sb="4" eb="6">
      <t>ウム</t>
    </rPh>
    <phoneticPr fontId="1"/>
  </si>
  <si>
    <t>修理着手日</t>
    <rPh sb="0" eb="5">
      <t>シュウリチャクシュビ</t>
    </rPh>
    <phoneticPr fontId="1"/>
  </si>
  <si>
    <t>修理状況</t>
    <rPh sb="0" eb="4">
      <t>シュウリジョウキョウ</t>
    </rPh>
    <phoneticPr fontId="1"/>
  </si>
  <si>
    <t>被災時に、現実になった被災状況を評価したうえで、現地復旧するのか、代替当の手段をとるのかを</t>
    <rPh sb="0" eb="3">
      <t>ヒサイジ</t>
    </rPh>
    <rPh sb="5" eb="7">
      <t>ゲンジツ</t>
    </rPh>
    <rPh sb="11" eb="15">
      <t>ヒサイジョウキョウ</t>
    </rPh>
    <rPh sb="16" eb="18">
      <t>ヒョウカ</t>
    </rPh>
    <rPh sb="24" eb="28">
      <t>ゲンチフッキュウ</t>
    </rPh>
    <rPh sb="33" eb="35">
      <t>ダイガエ</t>
    </rPh>
    <rPh sb="35" eb="36">
      <t>トウ</t>
    </rPh>
    <rPh sb="37" eb="39">
      <t>シュダン</t>
    </rPh>
    <phoneticPr fontId="1"/>
  </si>
  <si>
    <t>判断し、現地復旧となった場合、具体的な実施計画を作成し、修復をおこなう</t>
    <rPh sb="0" eb="2">
      <t>ハンダン</t>
    </rPh>
    <rPh sb="4" eb="8">
      <t>ゲンチフッキュウ</t>
    </rPh>
    <rPh sb="12" eb="14">
      <t>バアイ</t>
    </rPh>
    <rPh sb="15" eb="18">
      <t>グタイテキ</t>
    </rPh>
    <rPh sb="19" eb="23">
      <t>ジッシケイカク</t>
    </rPh>
    <rPh sb="24" eb="26">
      <t>サクセイ</t>
    </rPh>
    <rPh sb="28" eb="30">
      <t>シュウフク</t>
    </rPh>
    <phoneticPr fontId="1"/>
  </si>
  <si>
    <t>特に重要な経営資源が使用できない、確保できないとき、どう凌ぐかが大切です。</t>
    <rPh sb="0" eb="1">
      <t>トク</t>
    </rPh>
    <rPh sb="2" eb="4">
      <t>ジュウヨウ</t>
    </rPh>
    <rPh sb="5" eb="9">
      <t>ケイエイシゲン</t>
    </rPh>
    <rPh sb="10" eb="12">
      <t>シヨウ</t>
    </rPh>
    <rPh sb="17" eb="19">
      <t>カクホ</t>
    </rPh>
    <rPh sb="28" eb="29">
      <t>シノ</t>
    </rPh>
    <rPh sb="32" eb="34">
      <t>タイセツ</t>
    </rPh>
    <phoneticPr fontId="1"/>
  </si>
  <si>
    <t>そこで、外部資源を活用したり、その資源を利用しなくても稼げる道を選択することが重要です。</t>
    <rPh sb="4" eb="8">
      <t>ガイブシゲン</t>
    </rPh>
    <rPh sb="9" eb="11">
      <t>カツヨウ</t>
    </rPh>
    <rPh sb="17" eb="19">
      <t>シゲン</t>
    </rPh>
    <rPh sb="20" eb="22">
      <t>リヨウ</t>
    </rPh>
    <rPh sb="27" eb="28">
      <t>カセ</t>
    </rPh>
    <rPh sb="30" eb="31">
      <t>ミチ</t>
    </rPh>
    <rPh sb="32" eb="34">
      <t>センタク</t>
    </rPh>
    <rPh sb="39" eb="41">
      <t>ジュウヨウ</t>
    </rPh>
    <phoneticPr fontId="1"/>
  </si>
  <si>
    <t>ときの対応策を検討します。</t>
  </si>
  <si>
    <t>種類</t>
    <rPh sb="0" eb="2">
      <t>シュルイ</t>
    </rPh>
    <phoneticPr fontId="1"/>
  </si>
  <si>
    <t>職種</t>
    <rPh sb="0" eb="2">
      <t>ショクシュ</t>
    </rPh>
    <phoneticPr fontId="1"/>
  </si>
  <si>
    <t>対応優先度</t>
    <rPh sb="0" eb="5">
      <t>タイオウユウセンド</t>
    </rPh>
    <phoneticPr fontId="1"/>
  </si>
  <si>
    <t>参考：</t>
    <rPh sb="0" eb="2">
      <t>サンコウ</t>
    </rPh>
    <phoneticPr fontId="1"/>
  </si>
  <si>
    <t>優先度</t>
    <rPh sb="0" eb="3">
      <t>ユウセンド</t>
    </rPh>
    <phoneticPr fontId="1"/>
  </si>
  <si>
    <t>評価実施日：</t>
    <rPh sb="0" eb="4">
      <t>ヒョウカジッシ</t>
    </rPh>
    <rPh sb="4" eb="5">
      <t>ビ</t>
    </rPh>
    <phoneticPr fontId="1"/>
  </si>
  <si>
    <t>今後の対応方針</t>
    <rPh sb="0" eb="2">
      <t>コンゴ</t>
    </rPh>
    <rPh sb="3" eb="5">
      <t>タイオウ</t>
    </rPh>
    <rPh sb="5" eb="7">
      <t>ホウシン</t>
    </rPh>
    <phoneticPr fontId="1"/>
  </si>
  <si>
    <t>現地復旧準備状況</t>
    <rPh sb="0" eb="4">
      <t>ゲンチフッキュウ</t>
    </rPh>
    <rPh sb="4" eb="8">
      <t>ジュンビジョウキョウ</t>
    </rPh>
    <phoneticPr fontId="1"/>
  </si>
  <si>
    <t>緊急時特別融資枠</t>
    <rPh sb="0" eb="3">
      <t>キンキュウジ</t>
    </rPh>
    <rPh sb="3" eb="5">
      <t>トクベツ</t>
    </rPh>
    <rPh sb="5" eb="7">
      <t>ユウシ</t>
    </rPh>
    <rPh sb="7" eb="8">
      <t>ワク</t>
    </rPh>
    <phoneticPr fontId="1"/>
  </si>
  <si>
    <t>BCMの見直し・改善報告書</t>
    <rPh sb="4" eb="6">
      <t>ミナオ</t>
    </rPh>
    <rPh sb="8" eb="10">
      <t>カイゼン</t>
    </rPh>
    <rPh sb="10" eb="13">
      <t>ホウコクショ</t>
    </rPh>
    <phoneticPr fontId="1"/>
  </si>
  <si>
    <t>機種、号機</t>
    <rPh sb="0" eb="2">
      <t>キシュ</t>
    </rPh>
    <rPh sb="3" eb="5">
      <t>ゴウキ</t>
    </rPh>
    <phoneticPr fontId="1"/>
  </si>
  <si>
    <t>見直し・改善状況（個別）</t>
    <rPh sb="0" eb="2">
      <t>ミナオ</t>
    </rPh>
    <rPh sb="4" eb="6">
      <t>カイゼン</t>
    </rPh>
    <rPh sb="6" eb="8">
      <t>ジョウキョウ</t>
    </rPh>
    <rPh sb="9" eb="11">
      <t>コベツ</t>
    </rPh>
    <phoneticPr fontId="1"/>
  </si>
  <si>
    <t>　　　　　　　　　　　年　　　月　　　日　作成　　</t>
    <rPh sb="11" eb="12">
      <t>ネン</t>
    </rPh>
    <rPh sb="15" eb="16">
      <t>ガツ</t>
    </rPh>
    <rPh sb="19" eb="20">
      <t>ヒ</t>
    </rPh>
    <rPh sb="21" eb="23">
      <t>サクセイ</t>
    </rPh>
    <phoneticPr fontId="1"/>
  </si>
  <si>
    <t>様式６　　初動対応手順と事前対策【突発型】</t>
    <rPh sb="0" eb="2">
      <t>ヨウシキ</t>
    </rPh>
    <rPh sb="17" eb="19">
      <t>トッパツ</t>
    </rPh>
    <rPh sb="19" eb="20">
      <t>ガタ</t>
    </rPh>
    <phoneticPr fontId="1"/>
  </si>
  <si>
    <t>年度により異なり、省庁によっても異なる
ため、HP等から最新情報の入手を</t>
    <rPh sb="9" eb="11">
      <t>ショウチョウ</t>
    </rPh>
    <rPh sb="16" eb="17">
      <t>コト</t>
    </rPh>
    <rPh sb="25" eb="26">
      <t>トウ</t>
    </rPh>
    <rPh sb="28" eb="30">
      <t>サイシン</t>
    </rPh>
    <rPh sb="30" eb="32">
      <t>ジョウホウ</t>
    </rPh>
    <rPh sb="33" eb="35">
      <t>ニュウシュ</t>
    </rPh>
    <phoneticPr fontId="1"/>
  </si>
  <si>
    <t>教育の実施状況</t>
    <rPh sb="0" eb="2">
      <t>キョウイク</t>
    </rPh>
    <rPh sb="3" eb="5">
      <t>ジッシ</t>
    </rPh>
    <rPh sb="5" eb="7">
      <t>ジョウキョウ</t>
    </rPh>
    <phoneticPr fontId="1"/>
  </si>
  <si>
    <t>演習・訓練の実施状況</t>
    <rPh sb="0" eb="2">
      <t>エンシュウ</t>
    </rPh>
    <rPh sb="3" eb="5">
      <t>クンレン</t>
    </rPh>
    <rPh sb="6" eb="8">
      <t>ジッシ</t>
    </rPh>
    <rPh sb="8" eb="10">
      <t>ジョウキョウ</t>
    </rPh>
    <phoneticPr fontId="1"/>
  </si>
  <si>
    <t>重要設備の場合</t>
    <rPh sb="0" eb="4">
      <t>ジュウヨウセツビ</t>
    </rPh>
    <rPh sb="5" eb="7">
      <t>バアイ</t>
    </rPh>
    <phoneticPr fontId="1"/>
  </si>
  <si>
    <t>人的資源の場合</t>
    <rPh sb="0" eb="4">
      <t>ジンテキシゲン</t>
    </rPh>
    <rPh sb="5" eb="7">
      <t>バアイ</t>
    </rPh>
    <phoneticPr fontId="1"/>
  </si>
  <si>
    <t>影響や再開見込</t>
    <rPh sb="0" eb="2">
      <t>エイキョウ</t>
    </rPh>
    <rPh sb="3" eb="7">
      <t>サイカイミコ</t>
    </rPh>
    <phoneticPr fontId="1"/>
  </si>
  <si>
    <t>代替時の課題</t>
    <rPh sb="0" eb="2">
      <t>ダイガエ</t>
    </rPh>
    <rPh sb="2" eb="3">
      <t>ジ</t>
    </rPh>
    <rPh sb="4" eb="6">
      <t>カダイ</t>
    </rPh>
    <phoneticPr fontId="1"/>
  </si>
  <si>
    <t>事前対策・備考</t>
    <rPh sb="0" eb="4">
      <t>ジゼンタイサク</t>
    </rPh>
    <rPh sb="5" eb="7">
      <t>ビコウ</t>
    </rPh>
    <phoneticPr fontId="1"/>
  </si>
  <si>
    <t>代替仕入先</t>
    <rPh sb="0" eb="2">
      <t>ダイガエ</t>
    </rPh>
    <rPh sb="2" eb="5">
      <t>シイレサキ</t>
    </rPh>
    <phoneticPr fontId="1"/>
  </si>
  <si>
    <t>代替候補場所</t>
    <rPh sb="0" eb="2">
      <t>ダイガエ</t>
    </rPh>
    <rPh sb="2" eb="4">
      <t>コウホ</t>
    </rPh>
    <rPh sb="4" eb="6">
      <t>バショ</t>
    </rPh>
    <phoneticPr fontId="1"/>
  </si>
  <si>
    <t>代替条件</t>
    <rPh sb="0" eb="2">
      <t>ダイガエ</t>
    </rPh>
    <rPh sb="2" eb="4">
      <t>ジョウケン</t>
    </rPh>
    <phoneticPr fontId="1"/>
  </si>
  <si>
    <t>有効期日</t>
    <rPh sb="0" eb="4">
      <t>ユウコウキジツ</t>
    </rPh>
    <phoneticPr fontId="1"/>
  </si>
  <si>
    <t>活用可能な支援策をリストアップしておく</t>
    <rPh sb="0" eb="4">
      <t>カツヨウカノウ</t>
    </rPh>
    <rPh sb="5" eb="8">
      <t>シエンサク</t>
    </rPh>
    <phoneticPr fontId="1"/>
  </si>
  <si>
    <t>現状加入済み損害保険の支払い見込額を整理</t>
    <rPh sb="0" eb="2">
      <t>ゲンジョウ</t>
    </rPh>
    <rPh sb="2" eb="5">
      <t>カニュウズ</t>
    </rPh>
    <rPh sb="6" eb="8">
      <t>ソンガイ</t>
    </rPh>
    <rPh sb="8" eb="10">
      <t>ホケン</t>
    </rPh>
    <rPh sb="11" eb="13">
      <t>シハラ</t>
    </rPh>
    <rPh sb="14" eb="16">
      <t>ミコ</t>
    </rPh>
    <rPh sb="16" eb="17">
      <t>ガク</t>
    </rPh>
    <rPh sb="18" eb="20">
      <t>セイリ</t>
    </rPh>
    <phoneticPr fontId="1"/>
  </si>
  <si>
    <t>現在の金額（千円）</t>
    <rPh sb="0" eb="2">
      <t>ゲンザイ</t>
    </rPh>
    <phoneticPr fontId="1"/>
  </si>
  <si>
    <t>消耗部品・定期交換部品</t>
    <rPh sb="0" eb="2">
      <t>ショウモウ</t>
    </rPh>
    <rPh sb="2" eb="4">
      <t>ブヒン</t>
    </rPh>
    <rPh sb="5" eb="9">
      <t>テイキコウカン</t>
    </rPh>
    <rPh sb="9" eb="11">
      <t>ブヒン</t>
    </rPh>
    <phoneticPr fontId="1"/>
  </si>
  <si>
    <t>保守パーツ（交換可能重要部品）</t>
    <rPh sb="0" eb="2">
      <t>ホシュ</t>
    </rPh>
    <rPh sb="6" eb="10">
      <t>コウカンカノウ</t>
    </rPh>
    <rPh sb="10" eb="14">
      <t>ジュウヨウブヒン</t>
    </rPh>
    <phoneticPr fontId="1"/>
  </si>
  <si>
    <t>支援先企業の一部借用</t>
    <rPh sb="0" eb="5">
      <t>シエンサキキギョウ</t>
    </rPh>
    <rPh sb="6" eb="8">
      <t>イチブ</t>
    </rPh>
    <rPh sb="8" eb="10">
      <t>シャクヨウ</t>
    </rPh>
    <phoneticPr fontId="1"/>
  </si>
  <si>
    <t>事前対策（様式１２）実施状況</t>
  </si>
  <si>
    <t>サービス
業者</t>
    <rPh sb="5" eb="7">
      <t>ギョウシャ</t>
    </rPh>
    <phoneticPr fontId="1"/>
  </si>
  <si>
    <t>　※製造業を想定したサンプルなので、自社の実情に合わせて、報告項目を検討してください。</t>
    <rPh sb="2" eb="5">
      <t>セイゾウギョウ</t>
    </rPh>
    <rPh sb="6" eb="8">
      <t>ソウテイ</t>
    </rPh>
    <rPh sb="18" eb="20">
      <t>ジシャ</t>
    </rPh>
    <rPh sb="21" eb="23">
      <t>ジツジョウ</t>
    </rPh>
    <rPh sb="24" eb="25">
      <t>ア</t>
    </rPh>
    <rPh sb="29" eb="31">
      <t>ホウコク</t>
    </rPh>
    <rPh sb="31" eb="33">
      <t>コウモク</t>
    </rPh>
    <rPh sb="34" eb="36">
      <t>ケントウ</t>
    </rPh>
    <phoneticPr fontId="1"/>
  </si>
  <si>
    <t>復旧可能範囲</t>
    <rPh sb="0" eb="2">
      <t>フッキュウ</t>
    </rPh>
    <rPh sb="2" eb="6">
      <t>カノウハンイ</t>
    </rPh>
    <phoneticPr fontId="1"/>
  </si>
  <si>
    <t>復旧体制</t>
    <rPh sb="0" eb="2">
      <t>フッキュウ</t>
    </rPh>
    <rPh sb="2" eb="4">
      <t>タイセイ</t>
    </rPh>
    <phoneticPr fontId="1"/>
  </si>
  <si>
    <t>主な備え事項</t>
    <rPh sb="0" eb="1">
      <t>オモ</t>
    </rPh>
    <rPh sb="2" eb="3">
      <t>ソナ</t>
    </rPh>
    <rPh sb="4" eb="6">
      <t>ジコウ</t>
    </rPh>
    <phoneticPr fontId="1"/>
  </si>
  <si>
    <t>壊滅
（新たな稼ぐ手段構築）</t>
    <rPh sb="0" eb="2">
      <t>カイメツ</t>
    </rPh>
    <rPh sb="4" eb="5">
      <t>アラ</t>
    </rPh>
    <rPh sb="7" eb="8">
      <t>カセ</t>
    </rPh>
    <rPh sb="9" eb="11">
      <t>シュダン</t>
    </rPh>
    <rPh sb="11" eb="13">
      <t>コウチク</t>
    </rPh>
    <phoneticPr fontId="1"/>
  </si>
  <si>
    <t>自社経営資源への影響度</t>
    <rPh sb="0" eb="2">
      <t>ジシャ</t>
    </rPh>
    <rPh sb="2" eb="6">
      <t>ケイエイシゲン</t>
    </rPh>
    <rPh sb="8" eb="11">
      <t>エイキョウド</t>
    </rPh>
    <phoneticPr fontId="1"/>
  </si>
  <si>
    <t>経営判断の
目標時期</t>
    <rPh sb="8" eb="10">
      <t>ジキ</t>
    </rPh>
    <phoneticPr fontId="1"/>
  </si>
  <si>
    <t>【演習・訓練計画】</t>
    <rPh sb="1" eb="3">
      <t>エンシュウ</t>
    </rPh>
    <rPh sb="4" eb="8">
      <t>クンレンケイカク</t>
    </rPh>
    <phoneticPr fontId="1"/>
  </si>
  <si>
    <t>個別訓練計画用紙の項目案</t>
    <rPh sb="0" eb="6">
      <t>コベツクンレンケイカク</t>
    </rPh>
    <rPh sb="6" eb="8">
      <t>ヨウシ</t>
    </rPh>
    <rPh sb="9" eb="11">
      <t>コウモク</t>
    </rPh>
    <rPh sb="11" eb="12">
      <t>アン</t>
    </rPh>
    <phoneticPr fontId="1"/>
  </si>
  <si>
    <t>必要時間</t>
    <rPh sb="0" eb="4">
      <t>ヒツヨウジカン</t>
    </rPh>
    <phoneticPr fontId="1"/>
  </si>
  <si>
    <t>実施担当者</t>
    <rPh sb="0" eb="2">
      <t>ジッシ</t>
    </rPh>
    <rPh sb="2" eb="5">
      <t>タントウシャ</t>
    </rPh>
    <phoneticPr fontId="1"/>
  </si>
  <si>
    <t>訓練タイトル</t>
    <rPh sb="0" eb="2">
      <t>クンレン</t>
    </rPh>
    <phoneticPr fontId="1"/>
  </si>
  <si>
    <t>終了後（アンケート集計・報告、反省会など）</t>
    <rPh sb="0" eb="3">
      <t>シュウリョウゴ</t>
    </rPh>
    <rPh sb="9" eb="11">
      <t>シュウケイ</t>
    </rPh>
    <rPh sb="12" eb="14">
      <t>ホウコク</t>
    </rPh>
    <rPh sb="15" eb="18">
      <t>ハンセイカイ</t>
    </rPh>
    <phoneticPr fontId="1"/>
  </si>
  <si>
    <t>【教育計画】</t>
    <rPh sb="1" eb="5">
      <t>キョウイクケイカク</t>
    </rPh>
    <phoneticPr fontId="1"/>
  </si>
  <si>
    <t>施設　</t>
    <rPh sb="0" eb="2">
      <t>デンキ</t>
    </rPh>
    <phoneticPr fontId="1"/>
  </si>
  <si>
    <t>半日前</t>
    <rPh sb="0" eb="3">
      <t>ハンニチマエ</t>
    </rPh>
    <phoneticPr fontId="1"/>
  </si>
  <si>
    <t>検討のポイント</t>
    <rPh sb="0" eb="2">
      <t>ケントウ</t>
    </rPh>
    <phoneticPr fontId="1"/>
  </si>
  <si>
    <t>様式７の被害状況確認に従い、重要業務再開のための具体的な実施計画を作成する</t>
    <rPh sb="0" eb="2">
      <t>ヨウシキ</t>
    </rPh>
    <rPh sb="4" eb="10">
      <t>ヒガイジョウキョウカクニン</t>
    </rPh>
    <rPh sb="11" eb="12">
      <t>シタガ</t>
    </rPh>
    <rPh sb="14" eb="18">
      <t>ジュウヨウギョウム</t>
    </rPh>
    <rPh sb="18" eb="20">
      <t>サイカイ</t>
    </rPh>
    <rPh sb="24" eb="27">
      <t>グタイテキ</t>
    </rPh>
    <rPh sb="28" eb="30">
      <t>ジッシ</t>
    </rPh>
    <rPh sb="30" eb="32">
      <t>ケイカク</t>
    </rPh>
    <rPh sb="33" eb="35">
      <t>サクセイ</t>
    </rPh>
    <phoneticPr fontId="1"/>
  </si>
  <si>
    <t>支援企業</t>
    <rPh sb="0" eb="2">
      <t>シエン</t>
    </rPh>
    <rPh sb="2" eb="4">
      <t>キギョウ</t>
    </rPh>
    <phoneticPr fontId="1"/>
  </si>
  <si>
    <t>優先再開業務目標再開時期＆操業度</t>
    <rPh sb="0" eb="6">
      <t>ユウセンサイカイギョウム</t>
    </rPh>
    <rPh sb="6" eb="8">
      <t>モクヒョウ</t>
    </rPh>
    <rPh sb="8" eb="12">
      <t>サイカイジキ</t>
    </rPh>
    <rPh sb="13" eb="16">
      <t>ソウギョウド</t>
    </rPh>
    <phoneticPr fontId="1"/>
  </si>
  <si>
    <t>被災状況の把握</t>
    <rPh sb="0" eb="4">
      <t>ヒサイジョウキョウ</t>
    </rPh>
    <rPh sb="5" eb="7">
      <t>ハアク</t>
    </rPh>
    <phoneticPr fontId="1"/>
  </si>
  <si>
    <t>優先再開業務の再開計画策定</t>
    <rPh sb="0" eb="2">
      <t>ユウセン</t>
    </rPh>
    <rPh sb="2" eb="6">
      <t>サイカイギョウム</t>
    </rPh>
    <rPh sb="7" eb="11">
      <t>サイカイケイカク</t>
    </rPh>
    <rPh sb="11" eb="13">
      <t>サクテイ</t>
    </rPh>
    <phoneticPr fontId="1"/>
  </si>
  <si>
    <t>様式２　事業継続戦略（事業継続の方向性）</t>
    <rPh sb="0" eb="2">
      <t>ヨウシキ</t>
    </rPh>
    <phoneticPr fontId="1"/>
  </si>
  <si>
    <t>代替・企業連携手段の実施と事前対策</t>
    <rPh sb="0" eb="2">
      <t>ダイガエ</t>
    </rPh>
    <rPh sb="3" eb="7">
      <t>キギョウレンケイ</t>
    </rPh>
    <rPh sb="7" eb="9">
      <t>シュダン</t>
    </rPh>
    <rPh sb="10" eb="12">
      <t>ジッシ</t>
    </rPh>
    <rPh sb="13" eb="17">
      <t>ジゼンタイサク</t>
    </rPh>
    <phoneticPr fontId="1"/>
  </si>
  <si>
    <t>教育計画</t>
    <rPh sb="0" eb="4">
      <t>キョウイクケイカク</t>
    </rPh>
    <phoneticPr fontId="1"/>
  </si>
  <si>
    <t>　賠償損害保険</t>
    <rPh sb="1" eb="3">
      <t>バイショウ</t>
    </rPh>
    <rPh sb="3" eb="5">
      <t>ソンガイ</t>
    </rPh>
    <rPh sb="5" eb="7">
      <t>ホケン</t>
    </rPh>
    <phoneticPr fontId="1"/>
  </si>
  <si>
    <t>時間軸</t>
    <rPh sb="0" eb="3">
      <t>ジカンジク</t>
    </rPh>
    <phoneticPr fontId="1"/>
  </si>
  <si>
    <t>対象事象</t>
    <rPh sb="0" eb="2">
      <t>タイショウ</t>
    </rPh>
    <rPh sb="2" eb="4">
      <t>ジショウ</t>
    </rPh>
    <phoneticPr fontId="1"/>
  </si>
  <si>
    <t>3，4日前</t>
  </si>
  <si>
    <t>その他備え準備</t>
    <rPh sb="2" eb="3">
      <t>タ</t>
    </rPh>
    <rPh sb="3" eb="4">
      <t>ソナ</t>
    </rPh>
    <rPh sb="5" eb="7">
      <t>ジュンビ</t>
    </rPh>
    <phoneticPr fontId="1"/>
  </si>
  <si>
    <t>1日前</t>
    <rPh sb="1" eb="3">
      <t>ニチマエ</t>
    </rPh>
    <phoneticPr fontId="1"/>
  </si>
  <si>
    <t>後処理</t>
    <rPh sb="0" eb="3">
      <t>アトショリ</t>
    </rPh>
    <phoneticPr fontId="1"/>
  </si>
  <si>
    <t>　XX銀行</t>
    <rPh sb="3" eb="5">
      <t>ギンコウ</t>
    </rPh>
    <phoneticPr fontId="1"/>
  </si>
  <si>
    <t>　YY信用金庫</t>
    <rPh sb="3" eb="7">
      <t>シンヨウキンコ</t>
    </rPh>
    <phoneticPr fontId="1"/>
  </si>
  <si>
    <t>１．優先再開業務（重要業務）の選定</t>
    <rPh sb="2" eb="4">
      <t>ユウセン</t>
    </rPh>
    <rPh sb="4" eb="6">
      <t>サイカイ</t>
    </rPh>
    <rPh sb="6" eb="8">
      <t>ギョウム</t>
    </rPh>
    <rPh sb="9" eb="11">
      <t>ジュウヨウ</t>
    </rPh>
    <rPh sb="11" eb="13">
      <t>ギョウム</t>
    </rPh>
    <rPh sb="15" eb="17">
      <t>センテイ</t>
    </rPh>
    <phoneticPr fontId="26"/>
  </si>
  <si>
    <t>業務内容</t>
    <rPh sb="0" eb="2">
      <t>ギョウム</t>
    </rPh>
    <rPh sb="2" eb="4">
      <t>ナイヨウ</t>
    </rPh>
    <phoneticPr fontId="1"/>
  </si>
  <si>
    <t>　・優先復旧したい工作機械であれば、位置ズレの修正、破損個所の点検やパーツの交換など</t>
    <rPh sb="2" eb="6">
      <t>ユウセンフッキュウ</t>
    </rPh>
    <rPh sb="9" eb="13">
      <t>コウサクキカイ</t>
    </rPh>
    <rPh sb="18" eb="20">
      <t>イチ</t>
    </rPh>
    <rPh sb="23" eb="25">
      <t>シュウセイ</t>
    </rPh>
    <rPh sb="26" eb="30">
      <t>ハソンカショ</t>
    </rPh>
    <rPh sb="31" eb="33">
      <t>テンケン</t>
    </rPh>
    <rPh sb="38" eb="40">
      <t>コウカン</t>
    </rPh>
    <phoneticPr fontId="1"/>
  </si>
  <si>
    <t>　・極力業者に頼らず、修復できる技術を計画的に習得する</t>
    <rPh sb="2" eb="4">
      <t>キョクリョク</t>
    </rPh>
    <rPh sb="4" eb="6">
      <t>ギョウシャ</t>
    </rPh>
    <rPh sb="7" eb="8">
      <t>タヨ</t>
    </rPh>
    <rPh sb="11" eb="13">
      <t>シュウフク</t>
    </rPh>
    <rPh sb="16" eb="18">
      <t>ギジュツ</t>
    </rPh>
    <rPh sb="19" eb="21">
      <t>ケイカク</t>
    </rPh>
    <rPh sb="21" eb="22">
      <t>テキ</t>
    </rPh>
    <rPh sb="23" eb="25">
      <t>シュウトク</t>
    </rPh>
    <phoneticPr fontId="1"/>
  </si>
  <si>
    <t>・その資源について現地復旧可能な範囲や内容を明らかにし、当初レベルと将来レベルを決めておく</t>
    <rPh sb="3" eb="5">
      <t>シゲン</t>
    </rPh>
    <rPh sb="9" eb="11">
      <t>ゲンチ</t>
    </rPh>
    <rPh sb="11" eb="15">
      <t>フッキュウカノウ</t>
    </rPh>
    <rPh sb="16" eb="18">
      <t>ハンイ</t>
    </rPh>
    <rPh sb="19" eb="21">
      <t>ナイヨウ</t>
    </rPh>
    <rPh sb="22" eb="23">
      <t>アキ</t>
    </rPh>
    <rPh sb="28" eb="30">
      <t>トウショ</t>
    </rPh>
    <rPh sb="34" eb="36">
      <t>ショウライ</t>
    </rPh>
    <rPh sb="40" eb="41">
      <t>キ</t>
    </rPh>
    <phoneticPr fontId="1"/>
  </si>
  <si>
    <t>・自社で復旧するために必要なメンバーの資格取得や技術習得</t>
    <rPh sb="1" eb="3">
      <t>ジシャ</t>
    </rPh>
    <rPh sb="4" eb="6">
      <t>フッキュウ</t>
    </rPh>
    <rPh sb="19" eb="21">
      <t>シカク</t>
    </rPh>
    <rPh sb="21" eb="23">
      <t>シュトク</t>
    </rPh>
    <rPh sb="24" eb="26">
      <t>ギジュツ</t>
    </rPh>
    <rPh sb="26" eb="28">
      <t>シュウトク</t>
    </rPh>
    <phoneticPr fontId="1"/>
  </si>
  <si>
    <t>・復旧するために必要な、補修部品や補修資材などを用意しておく</t>
    <rPh sb="1" eb="3">
      <t>フッキュウ</t>
    </rPh>
    <rPh sb="8" eb="10">
      <t>ヒツヨウ</t>
    </rPh>
    <rPh sb="12" eb="14">
      <t>ホシュウ</t>
    </rPh>
    <rPh sb="14" eb="16">
      <t>ブヒン</t>
    </rPh>
    <rPh sb="17" eb="21">
      <t>ホシュウシザイ</t>
    </rPh>
    <rPh sb="24" eb="26">
      <t>ヨウイ</t>
    </rPh>
    <phoneticPr fontId="1"/>
  </si>
  <si>
    <t>・実際に修理を行い、手順など習得し、技術向上を進める</t>
    <rPh sb="1" eb="3">
      <t>ジッサイ</t>
    </rPh>
    <rPh sb="4" eb="6">
      <t>シュウリ</t>
    </rPh>
    <rPh sb="7" eb="8">
      <t>オコナ</t>
    </rPh>
    <rPh sb="10" eb="12">
      <t>テジュン</t>
    </rPh>
    <rPh sb="14" eb="16">
      <t>シュウトク</t>
    </rPh>
    <rPh sb="18" eb="22">
      <t>ギジュツコウジョウ</t>
    </rPh>
    <rPh sb="23" eb="24">
      <t>スス</t>
    </rPh>
    <phoneticPr fontId="1"/>
  </si>
  <si>
    <t>目標期限</t>
    <rPh sb="0" eb="2">
      <t>モクヒョウ</t>
    </rPh>
    <rPh sb="2" eb="4">
      <t>キゲン</t>
    </rPh>
    <phoneticPr fontId="1"/>
  </si>
  <si>
    <t>影響</t>
    <rPh sb="0" eb="2">
      <t>エイキョウ</t>
    </rPh>
    <phoneticPr fontId="1"/>
  </si>
  <si>
    <t>範囲</t>
    <rPh sb="0" eb="2">
      <t>ハンイ</t>
    </rPh>
    <phoneticPr fontId="1"/>
  </si>
  <si>
    <t>　　　　年　　　月　　　日　　　　</t>
  </si>
  <si>
    <t>作成日　</t>
  </si>
  <si>
    <t>緊急時対策</t>
    <rPh sb="0" eb="3">
      <t>キンキュウジ</t>
    </rPh>
    <rPh sb="3" eb="5">
      <t>タイサク</t>
    </rPh>
    <phoneticPr fontId="1"/>
  </si>
  <si>
    <t>事前準備・対策</t>
    <rPh sb="0" eb="2">
      <t>ジゼン</t>
    </rPh>
    <rPh sb="2" eb="4">
      <t>ジュンビ</t>
    </rPh>
    <rPh sb="5" eb="7">
      <t>タイサク</t>
    </rPh>
    <phoneticPr fontId="1"/>
  </si>
  <si>
    <t>被害想定</t>
    <rPh sb="0" eb="2">
      <t>ヒガイ</t>
    </rPh>
    <rPh sb="2" eb="4">
      <t>ソウテイ</t>
    </rPh>
    <phoneticPr fontId="1"/>
  </si>
  <si>
    <t>再調達・代替策等</t>
    <rPh sb="0" eb="3">
      <t>サイチョウタツ</t>
    </rPh>
    <rPh sb="4" eb="6">
      <t>ダイタイ</t>
    </rPh>
    <rPh sb="7" eb="8">
      <t>ナド</t>
    </rPh>
    <phoneticPr fontId="1"/>
  </si>
  <si>
    <t>　　被　災　状　況　報　告　書</t>
    <rPh sb="2" eb="3">
      <t>ヒ</t>
    </rPh>
    <rPh sb="4" eb="5">
      <t>サイ</t>
    </rPh>
    <rPh sb="6" eb="7">
      <t>ジョウ</t>
    </rPh>
    <rPh sb="8" eb="9">
      <t>キョウ</t>
    </rPh>
    <rPh sb="10" eb="11">
      <t>ホウ</t>
    </rPh>
    <rPh sb="12" eb="13">
      <t>コク</t>
    </rPh>
    <rPh sb="14" eb="15">
      <t>ショ</t>
    </rPh>
    <phoneticPr fontId="1"/>
  </si>
  <si>
    <t>営業部代表</t>
    <rPh sb="0" eb="2">
      <t>エイギョウ</t>
    </rPh>
    <rPh sb="2" eb="3">
      <t>ブ</t>
    </rPh>
    <rPh sb="3" eb="5">
      <t>ダイヒョウ</t>
    </rPh>
    <phoneticPr fontId="1"/>
  </si>
  <si>
    <t>●復旧・復興資金の確保</t>
    <rPh sb="1" eb="3">
      <t>フッキュウ</t>
    </rPh>
    <rPh sb="4" eb="8">
      <t>フッコウシキン</t>
    </rPh>
    <rPh sb="9" eb="11">
      <t>カクホ</t>
    </rPh>
    <phoneticPr fontId="1"/>
  </si>
  <si>
    <t>静岡県：　防災・減災強化資金（貸付）　http://www.pref.shizuoka.jp/sangyou/sa-540/seido/sikin-09.html</t>
    <rPh sb="0" eb="3">
      <t>シズオカケン</t>
    </rPh>
    <rPh sb="5" eb="7">
      <t>ボウサイ</t>
    </rPh>
    <rPh sb="8" eb="10">
      <t>ゲンサイ</t>
    </rPh>
    <rPh sb="10" eb="14">
      <t>キョウカシキン</t>
    </rPh>
    <rPh sb="15" eb="17">
      <t>カシツケ</t>
    </rPh>
    <phoneticPr fontId="1"/>
  </si>
  <si>
    <t xml:space="preserve">事業継続力強化計画　https://www.chusho.meti.go.jp/keiei/antei/bousai/keizokuryoku.htm
</t>
    <rPh sb="0" eb="5">
      <t>ジギョウケイゾクリョク</t>
    </rPh>
    <rPh sb="5" eb="9">
      <t>キョウカケイカク</t>
    </rPh>
    <phoneticPr fontId="1"/>
  </si>
  <si>
    <t>　・早期に復旧したい資源については、現地復旧するための技術を習得しておく</t>
    <rPh sb="2" eb="4">
      <t>ソウキ</t>
    </rPh>
    <rPh sb="5" eb="7">
      <t>フッキュウ</t>
    </rPh>
    <rPh sb="10" eb="12">
      <t>シゲン</t>
    </rPh>
    <rPh sb="18" eb="22">
      <t>ゲンチフッキュウ</t>
    </rPh>
    <rPh sb="27" eb="29">
      <t>ギジュツ</t>
    </rPh>
    <rPh sb="30" eb="32">
      <t>シュウトク</t>
    </rPh>
    <phoneticPr fontId="1"/>
  </si>
  <si>
    <t>　・設備・装置類、システム機器、電気・通信配線、ガス・水等の配管、車両・搬送機器</t>
    <rPh sb="2" eb="4">
      <t>セツビ</t>
    </rPh>
    <rPh sb="5" eb="8">
      <t>ソウチルイ</t>
    </rPh>
    <rPh sb="13" eb="15">
      <t>キキ</t>
    </rPh>
    <rPh sb="16" eb="18">
      <t>デンキ</t>
    </rPh>
    <rPh sb="19" eb="21">
      <t>ツウシン</t>
    </rPh>
    <rPh sb="21" eb="23">
      <t>ハイセン</t>
    </rPh>
    <rPh sb="27" eb="28">
      <t>ミズ</t>
    </rPh>
    <rPh sb="28" eb="29">
      <t>トウ</t>
    </rPh>
    <rPh sb="30" eb="32">
      <t>ハイカン</t>
    </rPh>
    <rPh sb="33" eb="35">
      <t>シャリョウ</t>
    </rPh>
    <rPh sb="36" eb="38">
      <t>ハンソウ</t>
    </rPh>
    <rPh sb="38" eb="40">
      <t>キキ</t>
    </rPh>
    <phoneticPr fontId="1"/>
  </si>
  <si>
    <t>　・レンタル等で代替品が調達しやすいもの、取引先・仕入先などの早期復旧</t>
    <rPh sb="6" eb="7">
      <t>トウ</t>
    </rPh>
    <rPh sb="8" eb="11">
      <t>ダイガエヒン</t>
    </rPh>
    <rPh sb="12" eb="14">
      <t>チョウタツ</t>
    </rPh>
    <rPh sb="21" eb="24">
      <t>トリヒキサキ</t>
    </rPh>
    <rPh sb="25" eb="28">
      <t>シイレサキ</t>
    </rPh>
    <rPh sb="31" eb="35">
      <t>ソウキフッキュウ</t>
    </rPh>
    <phoneticPr fontId="1"/>
  </si>
  <si>
    <t>　・早期に出社が可能なメンバー</t>
    <rPh sb="2" eb="4">
      <t>ソウキ</t>
    </rPh>
    <rPh sb="5" eb="7">
      <t>シュッシャ</t>
    </rPh>
    <rPh sb="8" eb="10">
      <t>カノウ</t>
    </rPh>
    <phoneticPr fontId="1"/>
  </si>
  <si>
    <t>様式
番号</t>
    <rPh sb="0" eb="2">
      <t>ヨウシキ</t>
    </rPh>
    <rPh sb="3" eb="5">
      <t>バンゴウ</t>
    </rPh>
    <phoneticPr fontId="1"/>
  </si>
  <si>
    <t>復旧・復興資金と事前対策資金の確保</t>
    <rPh sb="0" eb="2">
      <t>フッキュウ</t>
    </rPh>
    <rPh sb="3" eb="7">
      <t>フッコウシキン</t>
    </rPh>
    <rPh sb="8" eb="14">
      <t>ジゼンタイサクシキン</t>
    </rPh>
    <rPh sb="15" eb="17">
      <t>カクホ</t>
    </rPh>
    <phoneticPr fontId="1"/>
  </si>
  <si>
    <t>事業継続計画書</t>
    <rPh sb="0" eb="4">
      <t>ジギョウケイゾク</t>
    </rPh>
    <rPh sb="4" eb="7">
      <t>ケイカクショ</t>
    </rPh>
    <phoneticPr fontId="1"/>
  </si>
  <si>
    <t>第　　　　版</t>
    <rPh sb="0" eb="1">
      <t>ダイ</t>
    </rPh>
    <rPh sb="5" eb="6">
      <t>ハン</t>
    </rPh>
    <phoneticPr fontId="1"/>
  </si>
  <si>
    <t>統括責任者</t>
    <rPh sb="0" eb="2">
      <t>トウカツ</t>
    </rPh>
    <rPh sb="2" eb="5">
      <t>セキニンシャ</t>
    </rPh>
    <phoneticPr fontId="1"/>
  </si>
  <si>
    <t>サブリーダー</t>
  </si>
  <si>
    <t>事務局長</t>
    <rPh sb="0" eb="3">
      <t>ジムキョク</t>
    </rPh>
    <rPh sb="3" eb="4">
      <t>チョウ</t>
    </rPh>
    <phoneticPr fontId="1"/>
  </si>
  <si>
    <t>製造部代表</t>
    <rPh sb="0" eb="2">
      <t>セイゾウ</t>
    </rPh>
    <rPh sb="2" eb="5">
      <t>ブダイヒョウ</t>
    </rPh>
    <phoneticPr fontId="1"/>
  </si>
  <si>
    <t>・・・・・</t>
  </si>
  <si>
    <t>令和　　年　　月　　日</t>
    <rPh sb="0" eb="2">
      <t>レイワ</t>
    </rPh>
    <rPh sb="4" eb="5">
      <t>ネン</t>
    </rPh>
    <rPh sb="7" eb="8">
      <t>ガツ</t>
    </rPh>
    <rPh sb="10" eb="11">
      <t>ニチ</t>
    </rPh>
    <phoneticPr fontId="1"/>
  </si>
  <si>
    <t xml:space="preserve">（トップの総括コメント）
</t>
    <rPh sb="5" eb="7">
      <t>ソウカツ</t>
    </rPh>
    <phoneticPr fontId="1"/>
  </si>
  <si>
    <t>様式１０　　現地復旧の実施策と事前対策</t>
    <rPh sb="0" eb="2">
      <t>ヨウシキ</t>
    </rPh>
    <rPh sb="6" eb="8">
      <t>ゲンチ</t>
    </rPh>
    <rPh sb="8" eb="10">
      <t>フッキュウ</t>
    </rPh>
    <rPh sb="11" eb="13">
      <t>ジッシ</t>
    </rPh>
    <rPh sb="13" eb="14">
      <t>サク</t>
    </rPh>
    <rPh sb="15" eb="19">
      <t>ジゼンタイサク</t>
    </rPh>
    <phoneticPr fontId="1"/>
  </si>
  <si>
    <t>重要業務の
再開時操業度</t>
    <rPh sb="0" eb="2">
      <t>ジュウヨウ</t>
    </rPh>
    <rPh sb="2" eb="4">
      <t>ギョウム</t>
    </rPh>
    <rPh sb="6" eb="9">
      <t>サイカイジ</t>
    </rPh>
    <rPh sb="9" eb="12">
      <t>ソウギョウド</t>
    </rPh>
    <phoneticPr fontId="1"/>
  </si>
  <si>
    <t>顧客要請の
目標時期</t>
    <rPh sb="8" eb="10">
      <t>ジキ</t>
    </rPh>
    <phoneticPr fontId="1"/>
  </si>
  <si>
    <t>災害協定
対応開始時期</t>
    <rPh sb="9" eb="11">
      <t>ジキ</t>
    </rPh>
    <phoneticPr fontId="1"/>
  </si>
  <si>
    <t>行政・気象庁など
からの情報</t>
    <rPh sb="0" eb="2">
      <t>ギョウセイ</t>
    </rPh>
    <rPh sb="3" eb="6">
      <t>キショウチョウ</t>
    </rPh>
    <rPh sb="12" eb="14">
      <t>ジョウホウ</t>
    </rPh>
    <phoneticPr fontId="1"/>
  </si>
  <si>
    <t>軽微
（現地復旧
戦略）</t>
    <rPh sb="0" eb="2">
      <t>ケイビ</t>
    </rPh>
    <rPh sb="4" eb="8">
      <t>ゲンチフッキュウ</t>
    </rPh>
    <rPh sb="9" eb="11">
      <t>センリャク</t>
    </rPh>
    <phoneticPr fontId="1"/>
  </si>
  <si>
    <t>甚大
（代替・連携
戦略）</t>
    <rPh sb="0" eb="2">
      <t>ジンダイ</t>
    </rPh>
    <rPh sb="4" eb="6">
      <t>ダイガエ</t>
    </rPh>
    <rPh sb="7" eb="9">
      <t>レンケイ</t>
    </rPh>
    <rPh sb="10" eb="12">
      <t>センリャク</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</si>
</sst>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theme="1"/>
      <name val="ＭＳ Ｐゴシック"/>
      <family val="3"/>
      <scheme val="minor"/>
    </font>
    <font>
      <sz val="6"/>
      <color auto="1"/>
      <name val="ＭＳ Ｐゴシック"/>
      <family val="3"/>
    </font>
    <font>
      <sz val="14"/>
      <color theme="1"/>
      <name val="ＭＳ Ｐゴシック"/>
      <family val="3"/>
      <scheme val="minor"/>
    </font>
    <font>
      <sz val="36"/>
      <color theme="1"/>
      <name val="ＭＳ Ｐゴシック"/>
      <family val="3"/>
      <scheme val="minor"/>
    </font>
    <font>
      <sz val="12"/>
      <color theme="1"/>
      <name val="ＭＳ Ｐゴシック"/>
      <family val="3"/>
      <scheme val="minor"/>
    </font>
    <font>
      <sz val="9"/>
      <color theme="1"/>
      <name val="ＭＳ Ｐゴシック"/>
      <family val="3"/>
      <scheme val="minor"/>
    </font>
    <font>
      <sz val="26"/>
      <color theme="1"/>
      <name val="ＭＳ Ｐゴシック"/>
      <family val="3"/>
      <scheme val="minor"/>
    </font>
    <font>
      <sz val="16"/>
      <color theme="1"/>
      <name val="ＭＳ Ｐゴシック"/>
      <family val="3"/>
      <scheme val="minor"/>
    </font>
    <font>
      <sz val="12"/>
      <color theme="1"/>
      <name val="ＭＳ 明朝"/>
      <family val="1"/>
    </font>
    <font>
      <b/>
      <sz val="12"/>
      <color theme="1"/>
      <name val="ＭＳ Ｐゴシック"/>
      <family val="3"/>
      <scheme val="minor"/>
    </font>
    <font>
      <b/>
      <sz val="11"/>
      <color theme="1"/>
      <name val="ＭＳ Ｐゴシック"/>
      <family val="3"/>
      <scheme val="minor"/>
    </font>
    <font>
      <b/>
      <sz val="11"/>
      <color theme="0"/>
      <name val="ＭＳ Ｐゴシック"/>
      <family val="3"/>
      <scheme val="minor"/>
    </font>
    <font>
      <b/>
      <sz val="11"/>
      <color auto="1"/>
      <name val="ＭＳ Ｐゴシック"/>
      <family val="3"/>
    </font>
    <font>
      <sz val="11"/>
      <color theme="2" tint="-0.5"/>
      <name val="ＭＳ Ｐゴシック"/>
      <family val="3"/>
    </font>
    <font>
      <sz val="11"/>
      <color auto="1"/>
      <name val="ＭＳ Ｐゴシック"/>
      <family val="3"/>
    </font>
    <font>
      <b/>
      <sz val="11"/>
      <color theme="2" tint="-0.5"/>
      <name val="ＭＳ Ｐゴシック"/>
      <family val="3"/>
    </font>
    <font>
      <sz val="11"/>
      <color theme="1"/>
      <name val="ＭＳ Ｐゴシック"/>
      <family val="3"/>
      <scheme val="minor"/>
    </font>
    <font>
      <b/>
      <sz val="10"/>
      <color theme="1"/>
      <name val="ＭＳ Ｐゴシック"/>
      <family val="3"/>
    </font>
    <font>
      <b/>
      <sz val="14"/>
      <color theme="1"/>
      <name val="ＭＳ Ｐゴシック"/>
      <family val="3"/>
      <scheme val="minor"/>
    </font>
    <font>
      <b/>
      <sz val="18"/>
      <color theme="1"/>
      <name val="ＭＳ Ｐゴシック"/>
      <family val="3"/>
      <scheme val="minor"/>
    </font>
    <font>
      <sz val="11"/>
      <color rgb="FFFF0000"/>
      <name val="ＭＳ Ｐゴシック"/>
      <family val="3"/>
      <scheme val="minor"/>
    </font>
    <font>
      <b/>
      <sz val="11"/>
      <color rgb="FFFF0000"/>
      <name val="ＭＳ Ｐゴシック"/>
      <family val="3"/>
      <scheme val="minor"/>
    </font>
    <font>
      <u/>
      <sz val="11"/>
      <color theme="10"/>
      <name val="ＭＳ Ｐゴシック"/>
      <family val="3"/>
      <scheme val="minor"/>
    </font>
    <font>
      <sz val="12"/>
      <color theme="1"/>
      <name val="Hgpｺﾞｼｯｸm"/>
      <family val="3"/>
    </font>
    <font>
      <sz val="10"/>
      <color theme="1"/>
      <name val="Hgpｺﾞｼｯｸm"/>
      <family val="3"/>
    </font>
    <font>
      <sz val="11"/>
      <color auto="1"/>
      <name val="Calibri"/>
      <family val="2"/>
    </font>
    <font>
      <sz val="6"/>
      <color auto="1"/>
      <name val="游ゴシック"/>
    </font>
  </fonts>
  <fills count="8">
    <fill>
      <patternFill patternType="none"/>
    </fill>
    <fill>
      <patternFill patternType="gray125"/>
    </fill>
    <fill>
      <patternFill patternType="solid">
        <fgColor theme="2" tint="0.8"/>
        <bgColor indexed="64"/>
      </patternFill>
    </fill>
    <fill>
      <patternFill patternType="solid">
        <fgColor theme="0" tint="-0.5"/>
        <bgColor indexed="64"/>
      </patternFill>
    </fill>
    <fill>
      <patternFill patternType="solid">
        <fgColor theme="0" tint="-0.15"/>
        <bgColor indexed="64"/>
      </patternFill>
    </fill>
    <fill>
      <patternFill patternType="solid">
        <fgColor theme="0"/>
        <bgColor indexed="64"/>
      </patternFill>
    </fill>
    <fill>
      <patternFill patternType="solid">
        <fgColor theme="2" tint="0.6"/>
        <bgColor indexed="64"/>
      </patternFill>
    </fill>
    <fill>
      <patternFill patternType="solid">
        <fgColor rgb="FFE7E6E6"/>
        <bgColor rgb="FFE7E6E6"/>
      </patternFill>
    </fill>
  </fills>
  <borders count="70">
    <border>
      <left/>
      <right/>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style="medium">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3">
    <xf numFmtId="0" fontId="0" fillId="0" borderId="0">
      <alignment vertical="center"/>
    </xf>
    <xf numFmtId="38" fontId="16" fillId="0" borderId="0" applyFont="0" applyFill="0" applyBorder="0" applyAlignment="0" applyProtection="0">
      <alignment vertical="center"/>
    </xf>
    <xf numFmtId="0" fontId="22" fillId="0" borderId="0" applyNumberFormat="0" applyFill="0" applyBorder="0" applyAlignment="0" applyProtection="0">
      <alignment vertical="center"/>
    </xf>
  </cellStyleXfs>
  <cellXfs count="356">
    <xf numFmtId="0" fontId="0" fillId="0" borderId="0" xfId="0">
      <alignment vertical="center"/>
    </xf>
    <xf numFmtId="0" fontId="0" fillId="0" borderId="0" xfId="0" applyFill="1">
      <alignment vertical="center"/>
    </xf>
    <xf numFmtId="0" fontId="2" fillId="0" borderId="0" xfId="0" applyFont="1" applyFill="1">
      <alignment vertical="center"/>
    </xf>
    <xf numFmtId="0" fontId="3" fillId="0" borderId="0" xfId="0" applyFont="1" applyFill="1" applyAlignment="1">
      <alignment horizontal="center" vertical="center"/>
    </xf>
    <xf numFmtId="0" fontId="0" fillId="0" borderId="0" xfId="0"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Border="1" applyAlignment="1">
      <alignment horizontal="left" vertical="center"/>
    </xf>
    <xf numFmtId="0" fontId="5" fillId="0" borderId="0" xfId="0" applyFont="1">
      <alignment vertical="center"/>
    </xf>
    <xf numFmtId="0" fontId="6" fillId="0" borderId="0" xfId="0" applyFont="1" applyAlignment="1">
      <alignment horizontal="center" vertical="center"/>
    </xf>
    <xf numFmtId="0" fontId="7" fillId="0" borderId="0" xfId="0" applyFont="1" applyFill="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Border="1" applyAlignment="1">
      <alignment horizontal="left" vertical="center"/>
    </xf>
    <xf numFmtId="0" fontId="4" fillId="0" borderId="9"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11" xfId="0" applyFont="1" applyFill="1" applyBorder="1" applyAlignment="1">
      <alignment horizontal="left" vertical="center"/>
    </xf>
    <xf numFmtId="0" fontId="8" fillId="0" borderId="12" xfId="0" applyFont="1" applyBorder="1" applyAlignment="1">
      <alignment horizontal="lef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Border="1" applyAlignment="1">
      <alignment horizontal="left" vertical="center"/>
    </xf>
    <xf numFmtId="0" fontId="4" fillId="0" borderId="13"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15" xfId="0" applyFont="1" applyFill="1" applyBorder="1" applyAlignment="1">
      <alignment horizontal="left" vertical="center"/>
    </xf>
    <xf numFmtId="0" fontId="8" fillId="0" borderId="16" xfId="0" applyFont="1" applyBorder="1" applyAlignment="1">
      <alignment horizontal="left" vertical="center"/>
    </xf>
    <xf numFmtId="0" fontId="4" fillId="0" borderId="17" xfId="0" applyFont="1" applyFill="1" applyBorder="1" applyAlignment="1">
      <alignment horizontal="center"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8" fillId="0" borderId="20" xfId="0" applyFont="1" applyBorder="1" applyAlignment="1">
      <alignment horizontal="left" vertical="center"/>
    </xf>
    <xf numFmtId="0" fontId="0" fillId="2" borderId="21" xfId="0" applyFont="1" applyFill="1" applyBorder="1" applyAlignment="1">
      <alignment horizontal="center" vertical="center" wrapText="1"/>
    </xf>
    <xf numFmtId="0" fontId="0" fillId="0" borderId="21" xfId="0" applyBorder="1">
      <alignment vertical="center"/>
    </xf>
    <xf numFmtId="0" fontId="0" fillId="2" borderId="21" xfId="0" applyFont="1" applyFill="1" applyBorder="1" applyAlignment="1">
      <alignment horizontal="center" vertical="center"/>
    </xf>
    <xf numFmtId="0" fontId="0" fillId="0" borderId="21" xfId="0" applyBorder="1" applyAlignment="1">
      <alignment horizontal="left" vertical="center"/>
    </xf>
    <xf numFmtId="0" fontId="9" fillId="0" borderId="0" xfId="0" applyFont="1">
      <alignment vertical="center"/>
    </xf>
    <xf numFmtId="0" fontId="10" fillId="0" borderId="0" xfId="0" applyFont="1">
      <alignment vertical="center"/>
    </xf>
    <xf numFmtId="0" fontId="11" fillId="3" borderId="22" xfId="0" applyFont="1" applyFill="1" applyBorder="1" applyAlignment="1">
      <alignment horizontal="center" vertical="center"/>
    </xf>
    <xf numFmtId="0" fontId="10" fillId="0" borderId="23" xfId="0" applyFont="1" applyBorder="1">
      <alignment vertical="center"/>
    </xf>
    <xf numFmtId="0" fontId="0" fillId="0" borderId="24" xfId="0" applyBorder="1" applyAlignment="1">
      <alignment vertical="top" wrapText="1"/>
    </xf>
    <xf numFmtId="0" fontId="10" fillId="0" borderId="23" xfId="0" applyFont="1" applyBorder="1" applyAlignment="1">
      <alignment vertical="top"/>
    </xf>
    <xf numFmtId="0" fontId="0" fillId="0" borderId="25" xfId="0" applyBorder="1" applyAlignment="1">
      <alignment horizontal="right" vertical="center"/>
    </xf>
    <xf numFmtId="0" fontId="9" fillId="0" borderId="0" xfId="0" applyFont="1" applyAlignment="1">
      <alignment horizontal="center" vertical="center"/>
    </xf>
    <xf numFmtId="0" fontId="10" fillId="4" borderId="21" xfId="0" applyFont="1" applyFill="1" applyBorder="1" applyAlignment="1">
      <alignment horizontal="center" vertical="center"/>
    </xf>
    <xf numFmtId="0" fontId="10" fillId="0" borderId="21" xfId="0" applyFont="1" applyBorder="1" applyAlignment="1">
      <alignment horizontal="center" vertical="center" wrapText="1"/>
    </xf>
    <xf numFmtId="0" fontId="0" fillId="0" borderId="21" xfId="0" applyBorder="1" applyAlignment="1">
      <alignment horizontal="left" vertical="top" wrapText="1"/>
    </xf>
    <xf numFmtId="0" fontId="0" fillId="0" borderId="21" xfId="0" applyBorder="1" applyAlignment="1">
      <alignment vertical="top" wrapText="1"/>
    </xf>
    <xf numFmtId="0" fontId="0" fillId="4" borderId="26" xfId="0" applyFont="1" applyFill="1" applyBorder="1" applyAlignment="1">
      <alignment horizontal="center" vertical="center"/>
    </xf>
    <xf numFmtId="0" fontId="0" fillId="4" borderId="27" xfId="0" applyFont="1" applyFill="1" applyBorder="1" applyAlignment="1">
      <alignment horizontal="center" vertical="center"/>
    </xf>
    <xf numFmtId="0" fontId="0" fillId="4" borderId="28" xfId="0" applyFont="1" applyFill="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5" borderId="27" xfId="0" applyFont="1" applyFill="1" applyBorder="1" applyAlignment="1">
      <alignment horizontal="center" vertical="center"/>
    </xf>
    <xf numFmtId="0" fontId="13" fillId="5" borderId="27" xfId="0" applyFont="1" applyFill="1" applyBorder="1" applyAlignment="1">
      <alignment horizontal="center" vertical="center"/>
    </xf>
    <xf numFmtId="0" fontId="13" fillId="6" borderId="27"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6" borderId="26" xfId="0" applyFont="1" applyFill="1" applyBorder="1" applyAlignment="1">
      <alignment horizontal="center" vertical="center"/>
    </xf>
    <xf numFmtId="0" fontId="12" fillId="0" borderId="29" xfId="0" applyFont="1" applyBorder="1" applyAlignment="1">
      <alignment horizontal="center" vertical="center"/>
    </xf>
    <xf numFmtId="0" fontId="13" fillId="0" borderId="27" xfId="0" applyFont="1" applyBorder="1" applyAlignment="1">
      <alignment horizontal="center" vertical="center"/>
    </xf>
    <xf numFmtId="0" fontId="0" fillId="4" borderId="30" xfId="0" applyFont="1" applyFill="1" applyBorder="1" applyAlignment="1">
      <alignment horizontal="center" vertical="center"/>
    </xf>
    <xf numFmtId="0" fontId="0" fillId="4" borderId="21" xfId="0" applyFont="1" applyFill="1" applyBorder="1" applyAlignment="1">
      <alignment horizontal="center" vertical="center"/>
    </xf>
    <xf numFmtId="0" fontId="0" fillId="4" borderId="31" xfId="0" applyFont="1" applyFill="1" applyBorder="1" applyAlignment="1">
      <alignment horizontal="center" vertical="center"/>
    </xf>
    <xf numFmtId="0" fontId="12" fillId="0" borderId="30" xfId="0" applyFont="1" applyBorder="1" applyAlignment="1">
      <alignment horizontal="center" vertical="center"/>
    </xf>
    <xf numFmtId="0" fontId="12" fillId="0" borderId="21" xfId="0" applyFont="1" applyBorder="1" applyAlignment="1">
      <alignment horizontal="center" vertical="center"/>
    </xf>
    <xf numFmtId="0" fontId="12" fillId="5" borderId="21" xfId="0" applyFont="1" applyFill="1" applyBorder="1" applyAlignment="1">
      <alignment horizontal="center" vertical="center"/>
    </xf>
    <xf numFmtId="0" fontId="13" fillId="5" borderId="21" xfId="0" applyFont="1" applyFill="1" applyBorder="1" applyAlignment="1">
      <alignment horizontal="center" vertical="center"/>
    </xf>
    <xf numFmtId="0" fontId="13" fillId="6" borderId="21" xfId="0" applyFont="1" applyFill="1" applyBorder="1" applyAlignment="1">
      <alignment horizontal="center" vertical="center"/>
    </xf>
    <xf numFmtId="0" fontId="0" fillId="0" borderId="21" xfId="0" applyBorder="1" applyAlignment="1">
      <alignment horizontal="center" vertical="center"/>
    </xf>
    <xf numFmtId="0" fontId="0" fillId="0" borderId="31" xfId="0" applyFont="1" applyFill="1" applyBorder="1" applyAlignment="1">
      <alignment horizontal="center" vertical="center"/>
    </xf>
    <xf numFmtId="0" fontId="0" fillId="6" borderId="30" xfId="0" applyFont="1" applyFill="1" applyBorder="1" applyAlignment="1">
      <alignment horizontal="center" vertical="center"/>
    </xf>
    <xf numFmtId="0" fontId="12" fillId="0" borderId="32" xfId="0" applyFont="1" applyBorder="1" applyAlignment="1">
      <alignment horizontal="center" vertical="center"/>
    </xf>
    <xf numFmtId="0" fontId="13" fillId="0" borderId="21" xfId="0" applyFont="1" applyBorder="1" applyAlignment="1">
      <alignment horizontal="center" vertical="center"/>
    </xf>
    <xf numFmtId="0" fontId="0" fillId="4" borderId="33" xfId="0" applyFont="1" applyFill="1" applyBorder="1" applyAlignment="1">
      <alignment horizontal="center" vertical="center"/>
    </xf>
    <xf numFmtId="0" fontId="0" fillId="4" borderId="11" xfId="0" applyFont="1" applyFill="1" applyBorder="1" applyAlignment="1">
      <alignment horizontal="center" vertical="center"/>
    </xf>
    <xf numFmtId="0" fontId="0" fillId="4" borderId="34" xfId="0" applyFont="1" applyFill="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5" borderId="36" xfId="0" applyFont="1" applyFill="1" applyBorder="1" applyAlignment="1">
      <alignment horizontal="center" vertical="center"/>
    </xf>
    <xf numFmtId="0" fontId="13" fillId="5" borderId="36" xfId="0" applyFont="1" applyFill="1" applyBorder="1" applyAlignment="1">
      <alignment horizontal="center" vertical="center"/>
    </xf>
    <xf numFmtId="0" fontId="13" fillId="6" borderId="36"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0" fillId="6" borderId="33" xfId="0" applyFont="1" applyFill="1" applyBorder="1" applyAlignment="1">
      <alignment horizontal="center" vertical="center"/>
    </xf>
    <xf numFmtId="0" fontId="12" fillId="0" borderId="38" xfId="0" applyFont="1" applyBorder="1" applyAlignment="1">
      <alignment horizontal="center" vertical="center"/>
    </xf>
    <xf numFmtId="0" fontId="13" fillId="0" borderId="36" xfId="0" applyFont="1" applyBorder="1" applyAlignment="1">
      <alignment horizontal="center" vertical="center"/>
    </xf>
    <xf numFmtId="0" fontId="10" fillId="4" borderId="26" xfId="0" applyFont="1" applyFill="1" applyBorder="1" applyAlignment="1">
      <alignment horizontal="center" vertical="center"/>
    </xf>
    <xf numFmtId="0" fontId="10" fillId="4" borderId="27" xfId="0" applyFont="1" applyFill="1" applyBorder="1" applyAlignment="1">
      <alignment horizontal="center" vertical="center"/>
    </xf>
    <xf numFmtId="0" fontId="10" fillId="4" borderId="28" xfId="0" applyFont="1" applyFill="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5" borderId="15"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39" xfId="0" applyFont="1" applyFill="1" applyBorder="1" applyAlignment="1">
      <alignment horizontal="center" vertical="center"/>
    </xf>
    <xf numFmtId="0" fontId="10" fillId="6" borderId="26" xfId="0" applyFont="1" applyFill="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5" borderId="15" xfId="0" applyFont="1" applyFill="1" applyBorder="1" applyAlignment="1">
      <alignment horizontal="center" vertical="center"/>
    </xf>
    <xf numFmtId="0" fontId="13" fillId="5" borderId="15" xfId="0" applyFont="1" applyFill="1" applyBorder="1" applyAlignment="1">
      <alignment horizontal="center" vertical="center"/>
    </xf>
    <xf numFmtId="0" fontId="13" fillId="0" borderId="15" xfId="0" applyFont="1" applyBorder="1" applyAlignment="1">
      <alignment horizontal="center" vertical="center"/>
    </xf>
    <xf numFmtId="0" fontId="10" fillId="4" borderId="30" xfId="0" applyFont="1" applyFill="1" applyBorder="1" applyAlignment="1">
      <alignment horizontal="center" vertical="center"/>
    </xf>
    <xf numFmtId="0" fontId="10" fillId="4" borderId="31" xfId="0" applyFont="1" applyFill="1" applyBorder="1" applyAlignment="1">
      <alignment horizontal="center" vertical="center"/>
    </xf>
    <xf numFmtId="0" fontId="0" fillId="0" borderId="32" xfId="0" applyFont="1" applyBorder="1" applyAlignment="1">
      <alignment horizontal="center" vertical="center"/>
    </xf>
    <xf numFmtId="0" fontId="0" fillId="5" borderId="21" xfId="0" applyFont="1" applyFill="1" applyBorder="1" applyAlignment="1">
      <alignment horizontal="center" vertical="center"/>
    </xf>
    <xf numFmtId="0" fontId="0" fillId="6" borderId="21" xfId="0" applyFont="1" applyFill="1" applyBorder="1" applyAlignment="1">
      <alignment horizontal="center" vertical="center"/>
    </xf>
    <xf numFmtId="0" fontId="10" fillId="6" borderId="30" xfId="0" applyFont="1" applyFill="1" applyBorder="1" applyAlignment="1">
      <alignment horizontal="center" vertical="center"/>
    </xf>
    <xf numFmtId="0" fontId="14" fillId="0" borderId="32" xfId="0" applyFont="1" applyBorder="1" applyAlignment="1">
      <alignment horizontal="center" vertical="center"/>
    </xf>
    <xf numFmtId="0" fontId="14" fillId="0" borderId="21" xfId="0" applyFont="1" applyBorder="1" applyAlignment="1">
      <alignment horizontal="center" vertical="center"/>
    </xf>
    <xf numFmtId="0" fontId="14" fillId="5" borderId="21" xfId="0" applyFont="1" applyFill="1" applyBorder="1" applyAlignment="1">
      <alignment horizontal="center" vertical="center"/>
    </xf>
    <xf numFmtId="0" fontId="10" fillId="4" borderId="33"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34" xfId="0" applyFont="1" applyFill="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5" borderId="11" xfId="0" applyFont="1" applyFill="1" applyBorder="1" applyAlignment="1">
      <alignment horizontal="center" vertical="center"/>
    </xf>
    <xf numFmtId="0" fontId="13" fillId="5" borderId="11" xfId="0" applyFont="1" applyFill="1" applyBorder="1" applyAlignment="1">
      <alignment horizontal="center" vertical="center"/>
    </xf>
    <xf numFmtId="0" fontId="13" fillId="0" borderId="11" xfId="0" applyFont="1" applyBorder="1" applyAlignment="1">
      <alignment horizontal="center" vertical="center"/>
    </xf>
    <xf numFmtId="0" fontId="0" fillId="0" borderId="11" xfId="0" applyFont="1" applyBorder="1" applyAlignment="1">
      <alignment horizontal="center" vertical="center"/>
    </xf>
    <xf numFmtId="0" fontId="0" fillId="0" borderId="34" xfId="0" applyFont="1" applyBorder="1" applyAlignment="1">
      <alignment horizontal="center" vertical="center"/>
    </xf>
    <xf numFmtId="0" fontId="10" fillId="4" borderId="26" xfId="0" applyFont="1" applyFill="1" applyBorder="1" applyAlignment="1">
      <alignment horizontal="center" vertical="center" wrapText="1"/>
    </xf>
    <xf numFmtId="0" fontId="15" fillId="5" borderId="27" xfId="0" applyFont="1" applyFill="1" applyBorder="1" applyAlignment="1">
      <alignment horizontal="center" vertical="center"/>
    </xf>
    <xf numFmtId="0" fontId="0" fillId="5" borderId="27" xfId="0" applyFont="1" applyFill="1" applyBorder="1" applyAlignment="1">
      <alignment horizontal="center" vertical="center"/>
    </xf>
    <xf numFmtId="0" fontId="0" fillId="5" borderId="28" xfId="0" applyFont="1" applyFill="1" applyBorder="1" applyAlignment="1">
      <alignment horizontal="center" vertical="center"/>
    </xf>
    <xf numFmtId="0" fontId="15" fillId="5" borderId="21" xfId="0" applyFont="1" applyFill="1" applyBorder="1" applyAlignment="1">
      <alignment horizontal="center" vertical="center"/>
    </xf>
    <xf numFmtId="0" fontId="0" fillId="5" borderId="31" xfId="0" applyFont="1" applyFill="1" applyBorder="1" applyAlignment="1">
      <alignment horizontal="center" vertical="center"/>
    </xf>
    <xf numFmtId="0" fontId="10" fillId="4" borderId="35" xfId="0" applyFont="1" applyFill="1" applyBorder="1" applyAlignment="1">
      <alignment horizontal="center" vertical="center"/>
    </xf>
    <xf numFmtId="0" fontId="10" fillId="4" borderId="36" xfId="0" applyFont="1" applyFill="1" applyBorder="1" applyAlignment="1">
      <alignment horizontal="center" vertical="center"/>
    </xf>
    <xf numFmtId="0" fontId="10" fillId="4" borderId="37" xfId="0" applyFont="1" applyFill="1" applyBorder="1" applyAlignment="1">
      <alignment horizontal="center" vertical="center"/>
    </xf>
    <xf numFmtId="0" fontId="15" fillId="5" borderId="36" xfId="0" applyFont="1" applyFill="1" applyBorder="1" applyAlignment="1">
      <alignment horizontal="center" vertical="center"/>
    </xf>
    <xf numFmtId="0" fontId="0" fillId="5" borderId="36" xfId="0" applyFont="1" applyFill="1" applyBorder="1" applyAlignment="1">
      <alignment horizontal="center" vertical="center"/>
    </xf>
    <xf numFmtId="0" fontId="0" fillId="5" borderId="37" xfId="0" applyFont="1" applyFill="1" applyBorder="1" applyAlignment="1">
      <alignment horizontal="center" vertical="center"/>
    </xf>
    <xf numFmtId="9" fontId="14" fillId="0" borderId="29" xfId="0" applyNumberFormat="1" applyFont="1" applyBorder="1" applyAlignment="1">
      <alignment horizontal="center" vertical="center"/>
    </xf>
    <xf numFmtId="0" fontId="14" fillId="0" borderId="27" xfId="0" applyFont="1" applyBorder="1" applyAlignment="1">
      <alignment horizontal="center" vertical="center"/>
    </xf>
    <xf numFmtId="9" fontId="14" fillId="0" borderId="27" xfId="0" applyNumberFormat="1" applyFont="1" applyBorder="1" applyAlignment="1">
      <alignment horizontal="center" vertical="center"/>
    </xf>
    <xf numFmtId="9" fontId="13" fillId="0" borderId="27" xfId="0" applyNumberFormat="1" applyFont="1" applyBorder="1" applyAlignment="1">
      <alignment horizontal="center" vertical="center"/>
    </xf>
    <xf numFmtId="9" fontId="13" fillId="0" borderId="27" xfId="0" applyNumberFormat="1" applyFont="1" applyBorder="1" applyAlignment="1">
      <alignment horizontal="center" vertical="center" wrapText="1"/>
    </xf>
    <xf numFmtId="0" fontId="14" fillId="0" borderId="38" xfId="0" applyFont="1" applyBorder="1" applyAlignment="1">
      <alignment horizontal="center" vertical="center"/>
    </xf>
    <xf numFmtId="0" fontId="14" fillId="0" borderId="36" xfId="0" applyFont="1" applyBorder="1" applyAlignment="1">
      <alignment horizontal="center" vertical="center"/>
    </xf>
    <xf numFmtId="0" fontId="10" fillId="4" borderId="40"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8" xfId="0" applyFont="1" applyFill="1" applyBorder="1" applyAlignment="1">
      <alignment horizontal="center" vertical="center" wrapText="1"/>
    </xf>
    <xf numFmtId="0" fontId="14" fillId="0" borderId="40" xfId="0" applyFont="1" applyBorder="1" applyAlignment="1">
      <alignment horizontal="center" vertical="center"/>
    </xf>
    <xf numFmtId="0" fontId="14" fillId="0" borderId="6" xfId="0" applyFont="1" applyBorder="1" applyAlignment="1">
      <alignment horizontal="center" vertical="center"/>
    </xf>
    <xf numFmtId="0" fontId="14" fillId="0" borderId="41" xfId="0" applyFont="1" applyBorder="1" applyAlignment="1">
      <alignment horizontal="center" vertical="center"/>
    </xf>
    <xf numFmtId="0" fontId="13" fillId="0" borderId="41" xfId="0" applyFont="1" applyBorder="1" applyAlignment="1">
      <alignment horizontal="center" vertical="center"/>
    </xf>
    <xf numFmtId="0" fontId="13" fillId="0" borderId="6" xfId="0" applyFont="1" applyBorder="1" applyAlignment="1">
      <alignment horizontal="center" vertical="center"/>
    </xf>
    <xf numFmtId="0" fontId="13" fillId="0" borderId="41" xfId="0" applyFont="1" applyBorder="1" applyAlignment="1">
      <alignment horizontal="center" vertical="center" wrapText="1"/>
    </xf>
    <xf numFmtId="0" fontId="0" fillId="0" borderId="41" xfId="0" applyFont="1"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4" fillId="0" borderId="42" xfId="0" applyFont="1" applyBorder="1" applyAlignment="1">
      <alignment horizontal="center" vertical="center"/>
    </xf>
    <xf numFmtId="0" fontId="14" fillId="0" borderId="44" xfId="0" applyFont="1" applyBorder="1" applyAlignment="1">
      <alignment horizontal="center" vertical="center"/>
    </xf>
    <xf numFmtId="0" fontId="13" fillId="0" borderId="44" xfId="0" applyFont="1" applyBorder="1" applyAlignment="1">
      <alignment horizontal="center" vertical="center"/>
    </xf>
    <xf numFmtId="0" fontId="13" fillId="0" borderId="14" xfId="0" applyFont="1" applyBorder="1" applyAlignment="1">
      <alignment horizontal="center" vertical="center"/>
    </xf>
    <xf numFmtId="0" fontId="0" fillId="0" borderId="44" xfId="0" applyFont="1" applyBorder="1" applyAlignment="1">
      <alignment horizontal="center" vertical="center"/>
    </xf>
    <xf numFmtId="0" fontId="0" fillId="0" borderId="16" xfId="0" applyFont="1" applyBorder="1" applyAlignment="1">
      <alignment horizontal="center" vertical="center"/>
    </xf>
    <xf numFmtId="0" fontId="10" fillId="4" borderId="30" xfId="0" applyFont="1" applyFill="1" applyBorder="1" applyAlignment="1">
      <alignment horizontal="center" vertical="center" wrapText="1"/>
    </xf>
    <xf numFmtId="38" fontId="0" fillId="0" borderId="21" xfId="1" applyFont="1" applyBorder="1" applyAlignment="1">
      <alignment horizontal="center" vertical="center"/>
    </xf>
    <xf numFmtId="0" fontId="10" fillId="4" borderId="45" xfId="0" applyFont="1" applyFill="1" applyBorder="1" applyAlignment="1">
      <alignment horizontal="center" vertical="center" wrapText="1"/>
    </xf>
    <xf numFmtId="0" fontId="10" fillId="4" borderId="46"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3" fillId="0" borderId="46" xfId="0" applyFont="1" applyBorder="1" applyAlignment="1">
      <alignment horizontal="center" vertical="center"/>
    </xf>
    <xf numFmtId="0" fontId="13" fillId="0" borderId="10" xfId="0" applyFont="1" applyBorder="1" applyAlignment="1">
      <alignment horizontal="center" vertical="center"/>
    </xf>
    <xf numFmtId="0" fontId="13" fillId="0" borderId="47" xfId="0" applyFont="1" applyBorder="1" applyAlignment="1">
      <alignment horizontal="center" vertical="center"/>
    </xf>
    <xf numFmtId="38" fontId="0" fillId="0" borderId="47" xfId="1" applyFont="1" applyBorder="1" applyAlignment="1">
      <alignment horizontal="center" vertical="center"/>
    </xf>
    <xf numFmtId="38" fontId="0" fillId="0" borderId="10" xfId="1" applyFont="1" applyBorder="1" applyAlignment="1">
      <alignment horizontal="center" vertical="center"/>
    </xf>
    <xf numFmtId="0" fontId="0" fillId="0" borderId="47" xfId="0" applyFont="1" applyBorder="1" applyAlignment="1">
      <alignment horizontal="center" vertical="center"/>
    </xf>
    <xf numFmtId="0" fontId="0" fillId="0" borderId="10" xfId="0" applyFont="1" applyBorder="1" applyAlignment="1">
      <alignment horizontal="center" vertical="center"/>
    </xf>
    <xf numFmtId="0" fontId="0" fillId="0" borderId="12" xfId="0" applyFont="1" applyBorder="1" applyAlignment="1">
      <alignment horizontal="center" vertical="center"/>
    </xf>
    <xf numFmtId="0" fontId="14" fillId="0" borderId="0" xfId="0" applyFont="1" applyAlignment="1">
      <alignment horizontal="center" vertical="center"/>
    </xf>
    <xf numFmtId="0" fontId="13" fillId="0" borderId="0" xfId="0" applyFont="1" applyAlignment="1">
      <alignment horizontal="center" vertical="center"/>
    </xf>
    <xf numFmtId="38" fontId="0" fillId="0" borderId="41" xfId="1" applyFont="1" applyBorder="1" applyAlignment="1">
      <alignment horizontal="center" vertical="center"/>
    </xf>
    <xf numFmtId="38" fontId="0" fillId="0" borderId="6" xfId="1" applyFont="1" applyBorder="1" applyAlignment="1">
      <alignment horizontal="center" vertical="center"/>
    </xf>
    <xf numFmtId="0" fontId="14" fillId="0" borderId="43" xfId="0" applyFont="1" applyBorder="1" applyAlignment="1">
      <alignment horizontal="center" vertical="center"/>
    </xf>
    <xf numFmtId="0" fontId="13" fillId="0" borderId="43" xfId="0" applyFont="1" applyBorder="1" applyAlignment="1">
      <alignment horizontal="center" vertical="center"/>
    </xf>
    <xf numFmtId="38" fontId="0" fillId="0" borderId="44" xfId="1" applyFont="1" applyBorder="1" applyAlignment="1">
      <alignment horizontal="center" vertical="center"/>
    </xf>
    <xf numFmtId="38" fontId="0" fillId="0" borderId="14" xfId="1" applyFont="1" applyBorder="1" applyAlignment="1">
      <alignment horizontal="center" vertical="center"/>
    </xf>
    <xf numFmtId="0" fontId="10" fillId="4" borderId="45" xfId="0" applyFont="1" applyFill="1" applyBorder="1" applyAlignment="1">
      <alignment horizontal="center" vertical="center"/>
    </xf>
    <xf numFmtId="0" fontId="10" fillId="4" borderId="46" xfId="0" applyFont="1" applyFill="1" applyBorder="1" applyAlignment="1">
      <alignment horizontal="center" vertical="center"/>
    </xf>
    <xf numFmtId="0" fontId="10" fillId="4" borderId="12" xfId="0" applyFont="1" applyFill="1" applyBorder="1" applyAlignment="1">
      <alignment horizontal="center" vertical="center"/>
    </xf>
    <xf numFmtId="0" fontId="0" fillId="0" borderId="45" xfId="0" applyFont="1" applyBorder="1" applyAlignment="1">
      <alignment horizontal="center" vertical="center"/>
    </xf>
    <xf numFmtId="0" fontId="0" fillId="5" borderId="47" xfId="0" applyFont="1" applyFill="1" applyBorder="1" applyAlignment="1">
      <alignment horizontal="center" vertical="center"/>
    </xf>
    <xf numFmtId="0" fontId="0" fillId="5" borderId="10" xfId="0" applyFont="1" applyFill="1" applyBorder="1" applyAlignment="1">
      <alignment horizontal="center" vertical="center"/>
    </xf>
    <xf numFmtId="0" fontId="10" fillId="4" borderId="40" xfId="0" applyFont="1" applyFill="1" applyBorder="1" applyAlignment="1">
      <alignment horizontal="center" vertical="center"/>
    </xf>
    <xf numFmtId="0" fontId="10" fillId="4" borderId="0" xfId="0" applyFont="1" applyFill="1" applyAlignment="1">
      <alignment horizontal="center" vertical="center"/>
    </xf>
    <xf numFmtId="0" fontId="10" fillId="4" borderId="8" xfId="0" applyFont="1" applyFill="1" applyBorder="1" applyAlignment="1">
      <alignment horizontal="center" vertical="center"/>
    </xf>
    <xf numFmtId="0" fontId="0" fillId="0" borderId="40" xfId="0" applyFont="1" applyBorder="1" applyAlignment="1">
      <alignment horizontal="center" vertical="center"/>
    </xf>
    <xf numFmtId="0" fontId="0" fillId="5" borderId="41" xfId="0" applyFont="1" applyFill="1" applyBorder="1" applyAlignment="1">
      <alignment horizontal="center" vertical="center"/>
    </xf>
    <xf numFmtId="0" fontId="0" fillId="5" borderId="6" xfId="0" applyFont="1" applyFill="1" applyBorder="1" applyAlignment="1">
      <alignment horizontal="center" vertical="center"/>
    </xf>
    <xf numFmtId="0" fontId="10" fillId="4" borderId="42" xfId="0" applyFont="1" applyFill="1" applyBorder="1" applyAlignment="1">
      <alignment horizontal="center" vertical="center"/>
    </xf>
    <xf numFmtId="0" fontId="10" fillId="4" borderId="43" xfId="0" applyFont="1" applyFill="1" applyBorder="1" applyAlignment="1">
      <alignment horizontal="center" vertical="center"/>
    </xf>
    <xf numFmtId="0" fontId="10" fillId="4" borderId="16" xfId="0" applyFont="1" applyFill="1" applyBorder="1" applyAlignment="1">
      <alignment horizontal="center" vertical="center"/>
    </xf>
    <xf numFmtId="0" fontId="0" fillId="0" borderId="42" xfId="0" applyFont="1" applyBorder="1" applyAlignment="1">
      <alignment horizontal="center" vertical="center"/>
    </xf>
    <xf numFmtId="0" fontId="0" fillId="5" borderId="44" xfId="0" applyFont="1" applyFill="1" applyBorder="1" applyAlignment="1">
      <alignment horizontal="center" vertical="center"/>
    </xf>
    <xf numFmtId="0" fontId="0" fillId="5" borderId="14" xfId="0" applyFont="1" applyFill="1" applyBorder="1" applyAlignment="1">
      <alignment horizontal="center" vertical="center"/>
    </xf>
    <xf numFmtId="0" fontId="0" fillId="0" borderId="38" xfId="0" applyFont="1" applyBorder="1" applyAlignment="1">
      <alignment horizontal="center" vertical="center"/>
    </xf>
    <xf numFmtId="0" fontId="17" fillId="4" borderId="48" xfId="0" applyFont="1" applyFill="1" applyBorder="1" applyAlignment="1">
      <alignment horizontal="center" vertical="center" wrapText="1"/>
    </xf>
    <xf numFmtId="0" fontId="17" fillId="4" borderId="15" xfId="0" applyFont="1" applyFill="1" applyBorder="1" applyAlignment="1">
      <alignment horizontal="center" vertical="center"/>
    </xf>
    <xf numFmtId="0" fontId="17" fillId="4" borderId="39" xfId="0" applyFont="1" applyFill="1" applyBorder="1" applyAlignment="1">
      <alignment horizontal="center" vertical="center"/>
    </xf>
    <xf numFmtId="0" fontId="10" fillId="4" borderId="48"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39" xfId="0" applyFont="1" applyFill="1" applyBorder="1" applyAlignment="1">
      <alignment horizontal="center" vertical="center"/>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0" fillId="0" borderId="15" xfId="0" applyFont="1" applyBorder="1" applyAlignment="1">
      <alignment horizontal="center" vertical="center" wrapText="1"/>
    </xf>
    <xf numFmtId="0" fontId="17" fillId="4" borderId="30" xfId="0" applyFont="1" applyFill="1" applyBorder="1" applyAlignment="1">
      <alignment horizontal="center" vertical="center"/>
    </xf>
    <xf numFmtId="0" fontId="17" fillId="4" borderId="21" xfId="0" applyFont="1" applyFill="1" applyBorder="1" applyAlignment="1">
      <alignment horizontal="center" vertical="center"/>
    </xf>
    <xf numFmtId="0" fontId="17" fillId="4" borderId="31" xfId="0" applyFont="1" applyFill="1" applyBorder="1" applyAlignment="1">
      <alignment horizontal="center" vertical="center"/>
    </xf>
    <xf numFmtId="0" fontId="0" fillId="0" borderId="21" xfId="0" applyFont="1" applyBorder="1" applyAlignment="1">
      <alignment horizontal="center" vertical="center" wrapText="1"/>
    </xf>
    <xf numFmtId="0" fontId="17" fillId="4" borderId="35" xfId="0" applyFont="1" applyFill="1" applyBorder="1" applyAlignment="1">
      <alignment horizontal="center" vertical="center"/>
    </xf>
    <xf numFmtId="0" fontId="17" fillId="4" borderId="36" xfId="0" applyFont="1" applyFill="1" applyBorder="1" applyAlignment="1">
      <alignment horizontal="center" vertical="center"/>
    </xf>
    <xf numFmtId="0" fontId="17" fillId="4" borderId="37" xfId="0" applyFont="1" applyFill="1" applyBorder="1" applyAlignment="1">
      <alignment horizontal="center" vertical="center"/>
    </xf>
    <xf numFmtId="0" fontId="0" fillId="0" borderId="36" xfId="0" applyFont="1" applyBorder="1" applyAlignment="1">
      <alignment horizontal="center" vertical="center" wrapText="1"/>
    </xf>
    <xf numFmtId="0" fontId="18" fillId="4" borderId="49" xfId="0" applyFont="1" applyFill="1" applyBorder="1" applyAlignment="1">
      <alignment horizontal="center" vertical="center"/>
    </xf>
    <xf numFmtId="0" fontId="9" fillId="0" borderId="32" xfId="0" applyFont="1" applyBorder="1" applyAlignment="1">
      <alignment horizontal="center" vertical="center"/>
    </xf>
    <xf numFmtId="0" fontId="9" fillId="0" borderId="21" xfId="0" applyFont="1" applyBorder="1" applyAlignment="1">
      <alignment horizontal="center" vertical="center"/>
    </xf>
    <xf numFmtId="0" fontId="4" fillId="0" borderId="21" xfId="0" applyFont="1" applyFill="1" applyBorder="1" applyAlignment="1">
      <alignment horizontal="center" vertical="center"/>
    </xf>
    <xf numFmtId="0" fontId="19" fillId="0" borderId="0" xfId="0" applyFont="1">
      <alignment vertical="center"/>
    </xf>
    <xf numFmtId="0" fontId="9" fillId="0" borderId="32" xfId="0" applyFont="1" applyBorder="1" applyAlignment="1">
      <alignment horizontal="center" vertical="center" wrapText="1"/>
    </xf>
    <xf numFmtId="0" fontId="9" fillId="0" borderId="21" xfId="0" applyFont="1" applyBorder="1" applyAlignment="1">
      <alignment horizontal="center" vertical="center" wrapText="1"/>
    </xf>
    <xf numFmtId="0" fontId="18" fillId="0" borderId="21" xfId="0" applyFont="1" applyFill="1" applyBorder="1" applyAlignment="1">
      <alignment horizontal="center" vertical="center"/>
    </xf>
    <xf numFmtId="0" fontId="0" fillId="0" borderId="32" xfId="0" applyBorder="1">
      <alignment vertical="center"/>
    </xf>
    <xf numFmtId="0" fontId="0" fillId="0" borderId="21" xfId="0" applyBorder="1" applyAlignment="1">
      <alignment vertical="center" wrapText="1"/>
    </xf>
    <xf numFmtId="0" fontId="0" fillId="0" borderId="21" xfId="0" applyFill="1" applyBorder="1">
      <alignment vertical="center"/>
    </xf>
    <xf numFmtId="0" fontId="18" fillId="4" borderId="49" xfId="0" applyFont="1" applyFill="1" applyBorder="1" applyAlignment="1">
      <alignment horizontal="center" vertical="center" wrapText="1"/>
    </xf>
    <xf numFmtId="0" fontId="18" fillId="4" borderId="21" xfId="0" applyFont="1" applyFill="1" applyBorder="1" applyAlignment="1">
      <alignment horizontal="center" vertical="center"/>
    </xf>
    <xf numFmtId="0" fontId="0" fillId="0" borderId="32" xfId="0" applyBorder="1" applyAlignment="1">
      <alignment horizontal="left" vertical="center" wrapText="1"/>
    </xf>
    <xf numFmtId="0" fontId="0" fillId="0" borderId="21" xfId="0" applyBorder="1" applyAlignment="1">
      <alignment horizontal="left" vertical="center" wrapText="1"/>
    </xf>
    <xf numFmtId="0" fontId="0" fillId="0" borderId="32" xfId="0" applyBorder="1" applyAlignment="1">
      <alignment horizontal="center" vertical="center" wrapText="1"/>
    </xf>
    <xf numFmtId="0" fontId="10" fillId="4" borderId="21" xfId="0" applyFont="1" applyFill="1" applyBorder="1" applyAlignment="1">
      <alignment horizontal="left" vertical="center"/>
    </xf>
    <xf numFmtId="0" fontId="10" fillId="0" borderId="0" xfId="0" applyFont="1" applyAlignment="1">
      <alignment horizontal="left" vertical="center"/>
    </xf>
    <xf numFmtId="0" fontId="0" fillId="0" borderId="50"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10" fillId="0" borderId="21" xfId="0" applyFont="1" applyBorder="1" applyAlignment="1">
      <alignment horizontal="left" vertical="center"/>
    </xf>
    <xf numFmtId="0" fontId="10" fillId="4" borderId="21" xfId="0" applyFont="1" applyFill="1" applyBorder="1" applyAlignment="1">
      <alignment horizontal="center" vertical="center" wrapText="1"/>
    </xf>
    <xf numFmtId="0" fontId="10" fillId="0" borderId="0" xfId="0" applyFont="1" applyAlignment="1">
      <alignment horizontal="center" vertical="center"/>
    </xf>
    <xf numFmtId="0" fontId="10" fillId="0" borderId="21" xfId="0" applyFont="1" applyBorder="1" applyAlignment="1">
      <alignment horizontal="center" vertical="center"/>
    </xf>
    <xf numFmtId="0" fontId="10" fillId="0" borderId="26" xfId="0" applyFont="1" applyBorder="1" applyAlignment="1">
      <alignment horizontal="center" vertical="center" wrapText="1"/>
    </xf>
    <xf numFmtId="0" fontId="10" fillId="0" borderId="27" xfId="0" applyFont="1" applyFill="1" applyBorder="1" applyAlignment="1">
      <alignment horizontal="center" vertical="center" wrapText="1"/>
    </xf>
    <xf numFmtId="0" fontId="10" fillId="0" borderId="27" xfId="0" applyFont="1" applyFill="1" applyBorder="1" applyAlignment="1">
      <alignment horizontal="center" vertical="center"/>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0" fillId="0" borderId="21" xfId="0" applyFont="1" applyFill="1" applyBorder="1" applyAlignment="1">
      <alignment horizontal="left" vertical="top"/>
    </xf>
    <xf numFmtId="0" fontId="0" fillId="0" borderId="21" xfId="0" applyFont="1" applyFill="1" applyBorder="1" applyAlignment="1">
      <alignment horizontal="center" vertical="top" wrapText="1"/>
    </xf>
    <xf numFmtId="0" fontId="0" fillId="0" borderId="31" xfId="0" applyBorder="1" applyAlignment="1">
      <alignment horizontal="left" vertical="top" wrapText="1"/>
    </xf>
    <xf numFmtId="0" fontId="10" fillId="0" borderId="30" xfId="0" applyFont="1" applyBorder="1" applyAlignment="1">
      <alignment horizontal="center" vertical="center"/>
    </xf>
    <xf numFmtId="0" fontId="0" fillId="0" borderId="31" xfId="0" applyBorder="1" applyAlignment="1">
      <alignment horizontal="left" vertical="top"/>
    </xf>
    <xf numFmtId="0" fontId="10" fillId="0" borderId="35" xfId="0" applyFont="1" applyBorder="1" applyAlignment="1">
      <alignment horizontal="center" vertical="center"/>
    </xf>
    <xf numFmtId="0" fontId="0" fillId="0" borderId="36" xfId="0" applyFont="1" applyFill="1" applyBorder="1" applyAlignment="1">
      <alignment horizontal="left" vertical="top" wrapText="1"/>
    </xf>
    <xf numFmtId="0" fontId="0" fillId="0" borderId="37" xfId="0" applyBorder="1" applyAlignment="1">
      <alignment horizontal="left" vertical="top" wrapText="1"/>
    </xf>
    <xf numFmtId="0" fontId="10" fillId="4" borderId="52" xfId="0" applyFont="1" applyFill="1" applyBorder="1" applyAlignment="1">
      <alignment horizontal="center" vertical="center"/>
    </xf>
    <xf numFmtId="0" fontId="10" fillId="0" borderId="3" xfId="0" applyFont="1" applyBorder="1" applyAlignment="1">
      <alignment horizontal="left" vertical="center"/>
    </xf>
    <xf numFmtId="0" fontId="10" fillId="0" borderId="53"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27" xfId="0" applyFont="1" applyBorder="1">
      <alignment vertical="center"/>
    </xf>
    <xf numFmtId="0" fontId="0" fillId="0" borderId="27" xfId="0" applyFont="1" applyFill="1" applyBorder="1">
      <alignment vertical="center"/>
    </xf>
    <xf numFmtId="0" fontId="10" fillId="0" borderId="54" xfId="0" applyFont="1" applyFill="1" applyBorder="1">
      <alignment vertical="center"/>
    </xf>
    <xf numFmtId="0" fontId="10" fillId="0" borderId="55" xfId="0" applyFont="1" applyBorder="1">
      <alignment vertical="center"/>
    </xf>
    <xf numFmtId="0" fontId="10" fillId="0" borderId="4" xfId="0" applyFont="1" applyBorder="1" applyAlignment="1">
      <alignment horizontal="center" vertical="center"/>
    </xf>
    <xf numFmtId="0" fontId="10" fillId="4" borderId="56" xfId="0" applyFont="1" applyFill="1" applyBorder="1" applyAlignment="1">
      <alignment horizontal="center" vertical="center"/>
    </xf>
    <xf numFmtId="0" fontId="10" fillId="0" borderId="2" xfId="0" applyFont="1" applyBorder="1" applyAlignment="1">
      <alignment horizontal="left" vertical="center"/>
    </xf>
    <xf numFmtId="0" fontId="10" fillId="0" borderId="57" xfId="0" applyFont="1" applyBorder="1" applyAlignment="1">
      <alignment horizontal="center" vertical="center"/>
    </xf>
    <xf numFmtId="0" fontId="10" fillId="0" borderId="54" xfId="0" applyFont="1" applyBorder="1" applyAlignment="1">
      <alignment horizontal="center" vertical="center"/>
    </xf>
    <xf numFmtId="0" fontId="10" fillId="0" borderId="29" xfId="0" applyFont="1" applyBorder="1" applyAlignment="1">
      <alignment horizontal="center" vertical="center"/>
    </xf>
    <xf numFmtId="0" fontId="10" fillId="0" borderId="53" xfId="0" applyFont="1" applyBorder="1" applyAlignment="1">
      <alignment horizontal="left" vertical="center"/>
    </xf>
    <xf numFmtId="0" fontId="10" fillId="0" borderId="53" xfId="0" applyFont="1" applyBorder="1" applyAlignment="1">
      <alignment horizontal="center" vertical="center"/>
    </xf>
    <xf numFmtId="0" fontId="10" fillId="4" borderId="58" xfId="0" applyFont="1" applyFill="1" applyBorder="1" applyAlignment="1">
      <alignment horizontal="center" vertical="center"/>
    </xf>
    <xf numFmtId="0" fontId="10" fillId="0" borderId="7" xfId="0" applyFont="1" applyBorder="1" applyAlignment="1">
      <alignment horizontal="left" vertical="center"/>
    </xf>
    <xf numFmtId="0" fontId="0" fillId="0" borderId="7" xfId="0" applyBorder="1">
      <alignment vertical="center"/>
    </xf>
    <xf numFmtId="0" fontId="0" fillId="0" borderId="41" xfId="0" applyBorder="1">
      <alignment vertical="center"/>
    </xf>
    <xf numFmtId="0" fontId="0" fillId="0" borderId="8" xfId="0" applyBorder="1">
      <alignment vertical="center"/>
    </xf>
    <xf numFmtId="0" fontId="10" fillId="0" borderId="21" xfId="0" applyFont="1" applyBorder="1" applyAlignment="1">
      <alignment vertical="center" wrapText="1"/>
    </xf>
    <xf numFmtId="0" fontId="10" fillId="0" borderId="21" xfId="0" applyFont="1" applyFill="1" applyBorder="1">
      <alignment vertical="center"/>
    </xf>
    <xf numFmtId="0" fontId="10" fillId="0" borderId="41" xfId="0" applyFont="1" applyBorder="1">
      <alignment vertical="center"/>
    </xf>
    <xf numFmtId="0" fontId="10" fillId="0" borderId="8" xfId="0" applyFont="1" applyBorder="1" applyAlignment="1">
      <alignment horizontal="center" vertical="center"/>
    </xf>
    <xf numFmtId="0" fontId="10" fillId="0" borderId="6" xfId="0" applyFont="1" applyBorder="1" applyAlignment="1">
      <alignment horizontal="left" vertical="center"/>
    </xf>
    <xf numFmtId="0" fontId="10" fillId="0" borderId="11" xfId="0" applyFont="1" applyFill="1" applyBorder="1" applyAlignment="1">
      <alignment horizontal="center" vertical="center"/>
    </xf>
    <xf numFmtId="0" fontId="10" fillId="0" borderId="15" xfId="0" applyFont="1" applyFill="1" applyBorder="1" applyAlignment="1">
      <alignment horizontal="center" vertical="center"/>
    </xf>
    <xf numFmtId="0" fontId="20" fillId="0" borderId="0" xfId="0" applyFont="1">
      <alignment vertical="center"/>
    </xf>
    <xf numFmtId="0" fontId="10" fillId="0" borderId="11" xfId="0" applyFont="1" applyBorder="1" applyAlignment="1">
      <alignment horizontal="left" vertical="center"/>
    </xf>
    <xf numFmtId="0" fontId="10" fillId="0" borderId="10" xfId="0" applyFont="1" applyBorder="1" applyAlignment="1">
      <alignment horizontal="left" vertical="center"/>
    </xf>
    <xf numFmtId="0" fontId="10" fillId="0" borderId="15" xfId="0" applyFont="1" applyBorder="1" applyAlignment="1">
      <alignment horizontal="left" vertical="center"/>
    </xf>
    <xf numFmtId="0" fontId="10" fillId="0" borderId="14" xfId="0" applyFont="1" applyBorder="1" applyAlignment="1">
      <alignment horizontal="left" vertical="center"/>
    </xf>
    <xf numFmtId="0" fontId="10" fillId="4" borderId="59" xfId="0" applyFont="1" applyFill="1" applyBorder="1" applyAlignment="1">
      <alignment horizontal="center" vertical="center"/>
    </xf>
    <xf numFmtId="0" fontId="10" fillId="0" borderId="19" xfId="0" applyFont="1" applyBorder="1" applyAlignment="1">
      <alignment horizontal="left" vertical="center"/>
    </xf>
    <xf numFmtId="0" fontId="10" fillId="0" borderId="60" xfId="0" applyFont="1" applyBorder="1">
      <alignment vertical="center"/>
    </xf>
    <xf numFmtId="0" fontId="0" fillId="0" borderId="19" xfId="0" applyBorder="1">
      <alignment vertical="center"/>
    </xf>
    <xf numFmtId="0" fontId="0" fillId="0" borderId="60" xfId="0" applyBorder="1">
      <alignment vertical="center"/>
    </xf>
    <xf numFmtId="0" fontId="0" fillId="0" borderId="20" xfId="0" applyBorder="1">
      <alignment vertical="center"/>
    </xf>
    <xf numFmtId="0" fontId="10" fillId="0" borderId="36" xfId="0" applyFont="1" applyBorder="1" applyAlignment="1">
      <alignment horizontal="center" vertical="center"/>
    </xf>
    <xf numFmtId="0" fontId="0" fillId="0" borderId="60" xfId="0" applyFill="1" applyBorder="1">
      <alignment vertical="center"/>
    </xf>
    <xf numFmtId="0" fontId="0" fillId="0" borderId="36" xfId="0" applyFill="1" applyBorder="1">
      <alignment vertical="center"/>
    </xf>
    <xf numFmtId="0" fontId="10" fillId="0" borderId="36" xfId="0" applyFont="1" applyFill="1" applyBorder="1">
      <alignment vertical="center"/>
    </xf>
    <xf numFmtId="0" fontId="10" fillId="0" borderId="36" xfId="0" applyFont="1" applyBorder="1" applyAlignment="1">
      <alignment horizontal="left" vertical="center"/>
    </xf>
    <xf numFmtId="0" fontId="10" fillId="0" borderId="60" xfId="0" applyFont="1" applyBorder="1" applyAlignment="1">
      <alignment horizontal="center" vertical="center"/>
    </xf>
    <xf numFmtId="0" fontId="10" fillId="0" borderId="61" xfId="0" applyFont="1" applyBorder="1">
      <alignment vertical="center"/>
    </xf>
    <xf numFmtId="0" fontId="10" fillId="0" borderId="20" xfId="0" applyFont="1" applyBorder="1" applyAlignment="1">
      <alignment horizontal="center" vertical="center"/>
    </xf>
    <xf numFmtId="0" fontId="10" fillId="4" borderId="62" xfId="0" applyFont="1" applyFill="1" applyBorder="1" applyAlignment="1">
      <alignment horizontal="center" vertical="center"/>
    </xf>
    <xf numFmtId="0" fontId="10" fillId="0" borderId="18" xfId="0" applyFont="1" applyBorder="1" applyAlignment="1">
      <alignment horizontal="left" vertical="center"/>
    </xf>
    <xf numFmtId="0" fontId="21" fillId="0" borderId="0" xfId="0" applyFont="1">
      <alignment vertical="center"/>
    </xf>
    <xf numFmtId="0" fontId="4" fillId="0" borderId="0" xfId="0" applyFont="1">
      <alignment vertical="center"/>
    </xf>
    <xf numFmtId="0" fontId="9" fillId="6" borderId="21" xfId="0" applyFont="1" applyFill="1" applyBorder="1">
      <alignment vertical="center"/>
    </xf>
    <xf numFmtId="0" fontId="10" fillId="6" borderId="21" xfId="0" applyFont="1" applyFill="1" applyBorder="1">
      <alignment vertical="center"/>
    </xf>
    <xf numFmtId="0" fontId="0" fillId="6" borderId="0" xfId="0" applyFill="1">
      <alignment vertical="center"/>
    </xf>
    <xf numFmtId="0" fontId="22" fillId="0" borderId="0" xfId="2">
      <alignment vertical="center"/>
    </xf>
    <xf numFmtId="0" fontId="0" fillId="0" borderId="11" xfId="0" applyFont="1" applyFill="1" applyBorder="1" applyAlignment="1">
      <alignment horizontal="left" vertical="center"/>
    </xf>
    <xf numFmtId="0" fontId="0" fillId="0" borderId="0" xfId="0" applyFont="1" applyFill="1" applyAlignment="1">
      <alignment horizontal="left" vertical="center"/>
    </xf>
    <xf numFmtId="0" fontId="0" fillId="0" borderId="15" xfId="0" applyFont="1" applyFill="1" applyBorder="1" applyAlignment="1">
      <alignment horizontal="left" vertical="center"/>
    </xf>
    <xf numFmtId="0" fontId="0" fillId="0" borderId="7" xfId="0" applyFont="1" applyFill="1" applyBorder="1" applyAlignment="1">
      <alignment horizontal="left" vertical="center"/>
    </xf>
    <xf numFmtId="0" fontId="9" fillId="6" borderId="0" xfId="0" applyFont="1" applyFill="1">
      <alignment vertical="center"/>
    </xf>
    <xf numFmtId="0" fontId="0" fillId="6" borderId="11" xfId="0" applyFont="1" applyFill="1" applyBorder="1" applyAlignment="1">
      <alignment horizontal="center" vertical="center"/>
    </xf>
    <xf numFmtId="0" fontId="0" fillId="0" borderId="11" xfId="0" applyFont="1" applyFill="1" applyBorder="1" applyAlignment="1">
      <alignment vertical="center"/>
    </xf>
    <xf numFmtId="0" fontId="0" fillId="0" borderId="15" xfId="0" applyFont="1" applyFill="1" applyBorder="1" applyAlignment="1">
      <alignment vertical="center"/>
    </xf>
    <xf numFmtId="0" fontId="9" fillId="4" borderId="21" xfId="0" applyFont="1" applyFill="1" applyBorder="1" applyAlignment="1">
      <alignment horizontal="center" vertical="center"/>
    </xf>
    <xf numFmtId="0" fontId="9" fillId="4" borderId="21" xfId="0" applyFont="1" applyFill="1" applyBorder="1" applyAlignment="1">
      <alignment horizontal="center" vertical="center" shrinkToFit="1"/>
    </xf>
    <xf numFmtId="55" fontId="0" fillId="0" borderId="21" xfId="0" applyNumberFormat="1" applyBorder="1">
      <alignment vertical="center"/>
    </xf>
    <xf numFmtId="0" fontId="14" fillId="0" borderId="0" xfId="0" applyFont="1">
      <alignment vertical="center"/>
    </xf>
    <xf numFmtId="0" fontId="10" fillId="7" borderId="63" xfId="0" applyFont="1" applyFill="1" applyBorder="1" applyAlignment="1">
      <alignment horizontal="center" vertical="center" wrapText="1"/>
    </xf>
    <xf numFmtId="0" fontId="10" fillId="7" borderId="64" xfId="0" applyFont="1" applyFill="1" applyBorder="1" applyAlignment="1">
      <alignment horizontal="center" vertical="center" wrapText="1"/>
    </xf>
    <xf numFmtId="0" fontId="0" fillId="0" borderId="64" xfId="0" applyBorder="1" applyAlignment="1">
      <alignment horizontal="center" vertical="center" wrapText="1"/>
    </xf>
    <xf numFmtId="0" fontId="0" fillId="0" borderId="0" xfId="0" applyAlignment="1">
      <alignment horizontal="center" vertical="center" wrapText="1"/>
    </xf>
    <xf numFmtId="0" fontId="12" fillId="0" borderId="65" xfId="0" applyFont="1" applyBorder="1">
      <alignment vertical="center"/>
    </xf>
    <xf numFmtId="0" fontId="12" fillId="0" borderId="66" xfId="0" applyFont="1" applyBorder="1">
      <alignment vertical="center"/>
    </xf>
    <xf numFmtId="0" fontId="10" fillId="7" borderId="67" xfId="0" applyFont="1" applyFill="1" applyBorder="1" applyAlignment="1">
      <alignment horizontal="center" vertical="center" wrapText="1"/>
    </xf>
    <xf numFmtId="0" fontId="23" fillId="0" borderId="0" xfId="0" applyFont="1" applyFill="1" applyAlignment="1">
      <alignment horizontal="left" vertical="center"/>
    </xf>
    <xf numFmtId="0" fontId="24" fillId="0" borderId="68" xfId="0" applyFont="1" applyFill="1" applyBorder="1" applyAlignment="1">
      <alignment horizontal="center" vertical="center" textRotation="255" wrapText="1"/>
    </xf>
    <xf numFmtId="0" fontId="25" fillId="0" borderId="69" xfId="0" applyFont="1" applyFill="1" applyBorder="1">
      <alignment vertical="center"/>
    </xf>
    <xf numFmtId="0" fontId="24" fillId="0" borderId="64" xfId="0" applyFont="1" applyFill="1" applyBorder="1" applyAlignment="1">
      <alignment horizontal="center" vertical="center" wrapText="1"/>
    </xf>
    <xf numFmtId="0" fontId="0" fillId="0" borderId="64" xfId="0" applyBorder="1" applyAlignment="1">
      <alignment horizontal="left" vertical="center" wrapText="1"/>
    </xf>
    <xf numFmtId="0" fontId="24" fillId="0" borderId="68" xfId="0" applyFont="1" applyFill="1" applyBorder="1" applyAlignment="1">
      <alignment horizontal="center" vertical="center" wrapText="1"/>
    </xf>
    <xf numFmtId="0" fontId="24" fillId="0" borderId="0" xfId="0" applyFont="1" applyFill="1" applyAlignment="1">
      <alignment horizontal="center" vertical="center" wrapText="1"/>
    </xf>
    <xf numFmtId="0" fontId="24" fillId="0" borderId="64" xfId="0" applyFont="1" applyFill="1" applyBorder="1" applyAlignment="1">
      <alignment horizontal="left" vertical="center" wrapText="1"/>
    </xf>
    <xf numFmtId="0" fontId="10" fillId="7" borderId="68" xfId="0" applyFont="1" applyFill="1" applyBorder="1" applyAlignment="1">
      <alignment horizontal="center" vertical="center" wrapText="1"/>
    </xf>
    <xf numFmtId="0" fontId="12" fillId="0" borderId="69" xfId="0" applyFont="1" applyBorder="1">
      <alignment vertical="center"/>
    </xf>
    <xf numFmtId="0" fontId="17" fillId="7" borderId="64" xfId="0" applyFont="1" applyFill="1" applyBorder="1" applyAlignment="1">
      <alignment horizontal="center" vertical="center" wrapText="1"/>
    </xf>
    <xf numFmtId="0" fontId="0" fillId="0" borderId="68" xfId="0" applyFont="1" applyFill="1" applyBorder="1" applyAlignment="1">
      <alignment horizontal="center" vertical="center" wrapText="1"/>
    </xf>
    <xf numFmtId="0" fontId="17" fillId="7" borderId="67" xfId="0" applyFont="1" applyFill="1" applyBorder="1" applyAlignment="1">
      <alignment horizontal="center" vertical="center" wrapText="1"/>
    </xf>
    <xf numFmtId="0" fontId="0" fillId="0" borderId="68" xfId="0" applyFont="1" applyFill="1" applyBorder="1" applyAlignment="1">
      <alignment horizontal="left" vertical="center" wrapText="1"/>
    </xf>
    <xf numFmtId="0" fontId="12" fillId="0" borderId="0" xfId="0" applyFont="1">
      <alignment vertical="center"/>
    </xf>
    <xf numFmtId="0" fontId="12" fillId="4" borderId="21" xfId="0" applyFont="1" applyFill="1" applyBorder="1" applyAlignment="1">
      <alignment horizontal="center" vertical="center"/>
    </xf>
    <xf numFmtId="0" fontId="14" fillId="0" borderId="21" xfId="0" applyFont="1" applyBorder="1">
      <alignment vertical="center"/>
    </xf>
    <xf numFmtId="0" fontId="14" fillId="0" borderId="21" xfId="0" applyFont="1" applyBorder="1" applyAlignment="1">
      <alignment vertical="center" wrapText="1"/>
    </xf>
    <xf numFmtId="0" fontId="12" fillId="0" borderId="11" xfId="0" applyFont="1" applyFill="1" applyBorder="1" applyAlignment="1">
      <alignment horizontal="left" vertical="top" wrapText="1"/>
    </xf>
    <xf numFmtId="0" fontId="12" fillId="0" borderId="41" xfId="0" applyFont="1" applyFill="1" applyBorder="1" applyAlignment="1">
      <alignment vertical="top"/>
    </xf>
    <xf numFmtId="0" fontId="14" fillId="6" borderId="0" xfId="0" applyFont="1" applyFill="1">
      <alignment vertical="center"/>
    </xf>
    <xf numFmtId="0" fontId="12" fillId="0" borderId="7" xfId="0" applyFont="1" applyFill="1" applyBorder="1" applyAlignment="1">
      <alignment horizontal="left" vertical="top" wrapText="1"/>
    </xf>
    <xf numFmtId="0" fontId="14" fillId="0" borderId="41" xfId="0" applyFont="1" applyFill="1" applyBorder="1" applyAlignment="1">
      <alignment vertical="top"/>
    </xf>
    <xf numFmtId="0" fontId="12" fillId="0" borderId="15" xfId="0" applyFont="1" applyFill="1" applyBorder="1" applyAlignment="1">
      <alignment horizontal="left" vertical="top" wrapText="1"/>
    </xf>
    <xf numFmtId="0" fontId="12" fillId="0" borderId="21" xfId="0" applyFont="1" applyFill="1" applyBorder="1" applyAlignment="1">
      <alignment vertical="top"/>
    </xf>
  </cellXfs>
  <cellStyles count="3">
    <cellStyle name="標準" xfId="0" builtinId="0"/>
    <cellStyle name="桁区切り" xfId="1" builtinId="6"/>
    <cellStyle name="ハイパーリンク" xfId="2" builtinId="8"/>
  </cellStyles>
  <tableStyles count="0" defaultTableStyle="TableStyleMedium2" defaultPivotStyle="PivotStyleLight16"/>
  <colors>
    <mruColors>
      <color rgb="FF99CCFF"/>
      <color rgb="FF3399FF"/>
      <color rgb="FF698EE1"/>
      <color rgb="FF557FDD"/>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2</xdr:row>
      <xdr:rowOff>9525</xdr:rowOff>
    </xdr:from>
    <xdr:to xmlns:xdr="http://schemas.openxmlformats.org/drawingml/2006/spreadsheetDrawing">
      <xdr:col>5</xdr:col>
      <xdr:colOff>219075</xdr:colOff>
      <xdr:row>5</xdr:row>
      <xdr:rowOff>0</xdr:rowOff>
    </xdr:to>
    <xdr:cxnSp macro="">
      <xdr:nvCxnSpPr>
        <xdr:cNvPr id="2" name="直線コネクタ 1"/>
        <xdr:cNvCxnSpPr/>
      </xdr:nvCxnSpPr>
      <xdr:spPr>
        <a:xfrm flipH="1" flipV="1">
          <a:off x="0" y="495300"/>
          <a:ext cx="1409700" cy="714375"/>
        </a:xfrm>
        <a:prstGeom prst="straightConnector1">
          <a:avLst/>
        </a:prstGeom>
        <a:ln w="22225"/>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209550</xdr:colOff>
      <xdr:row>2</xdr:row>
      <xdr:rowOff>9525</xdr:rowOff>
    </xdr:from>
    <xdr:to xmlns:xdr="http://schemas.openxmlformats.org/drawingml/2006/spreadsheetDrawing">
      <xdr:col>6</xdr:col>
      <xdr:colOff>95250</xdr:colOff>
      <xdr:row>3</xdr:row>
      <xdr:rowOff>104775</xdr:rowOff>
    </xdr:to>
    <xdr:sp macro="" textlink="">
      <xdr:nvSpPr>
        <xdr:cNvPr id="3" name="テキスト ボックス 2"/>
        <xdr:cNvSpPr txBox="1"/>
      </xdr:nvSpPr>
      <xdr:spPr>
        <a:xfrm>
          <a:off x="685800" y="495300"/>
          <a:ext cx="838200" cy="3333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評価項目</a:t>
          </a:r>
        </a:p>
      </xdr:txBody>
    </xdr:sp>
    <xdr:clientData/>
  </xdr:twoCellAnchor>
  <xdr:twoCellAnchor>
    <xdr:from xmlns:xdr="http://schemas.openxmlformats.org/drawingml/2006/spreadsheetDrawing">
      <xdr:col>0</xdr:col>
      <xdr:colOff>133350</xdr:colOff>
      <xdr:row>3</xdr:row>
      <xdr:rowOff>47625</xdr:rowOff>
    </xdr:from>
    <xdr:to xmlns:xdr="http://schemas.openxmlformats.org/drawingml/2006/spreadsheetDrawing">
      <xdr:col>4</xdr:col>
      <xdr:colOff>190500</xdr:colOff>
      <xdr:row>4</xdr:row>
      <xdr:rowOff>104775</xdr:rowOff>
    </xdr:to>
    <xdr:sp macro="" textlink="">
      <xdr:nvSpPr>
        <xdr:cNvPr id="4" name="テキスト ボックス 3"/>
        <xdr:cNvSpPr txBox="1"/>
      </xdr:nvSpPr>
      <xdr:spPr>
        <a:xfrm>
          <a:off x="133350" y="771525"/>
          <a:ext cx="1009650" cy="2952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業務名</a:t>
          </a:r>
          <a:endParaRPr kumimoji="1" lang="en-US" altLang="ja-JP" sz="1100" b="1"/>
        </a:p>
      </xdr:txBody>
    </xdr:sp>
    <xdr:clientData/>
  </xdr:twoCellAnchor>
  <xdr:twoCellAnchor>
    <xdr:from xmlns:xdr="http://schemas.openxmlformats.org/drawingml/2006/spreadsheetDrawing">
      <xdr:col>0</xdr:col>
      <xdr:colOff>0</xdr:colOff>
      <xdr:row>28</xdr:row>
      <xdr:rowOff>0</xdr:rowOff>
    </xdr:from>
    <xdr:to xmlns:xdr="http://schemas.openxmlformats.org/drawingml/2006/spreadsheetDrawing">
      <xdr:col>5</xdr:col>
      <xdr:colOff>219075</xdr:colOff>
      <xdr:row>31</xdr:row>
      <xdr:rowOff>0</xdr:rowOff>
    </xdr:to>
    <xdr:cxnSp macro="">
      <xdr:nvCxnSpPr>
        <xdr:cNvPr id="5" name="直線コネクタ 4"/>
        <xdr:cNvCxnSpPr/>
      </xdr:nvCxnSpPr>
      <xdr:spPr>
        <a:xfrm flipH="1" flipV="1">
          <a:off x="0" y="5295900"/>
          <a:ext cx="1409700" cy="657225"/>
        </a:xfrm>
        <a:prstGeom prst="straightConnector1">
          <a:avLst/>
        </a:prstGeom>
        <a:ln w="22225"/>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xdr:col>
      <xdr:colOff>184785</xdr:colOff>
      <xdr:row>28</xdr:row>
      <xdr:rowOff>26035</xdr:rowOff>
    </xdr:from>
    <xdr:to xmlns:xdr="http://schemas.openxmlformats.org/drawingml/2006/spreadsheetDrawing">
      <xdr:col>7</xdr:col>
      <xdr:colOff>3810</xdr:colOff>
      <xdr:row>29</xdr:row>
      <xdr:rowOff>129540</xdr:rowOff>
    </xdr:to>
    <xdr:sp macro="" textlink="">
      <xdr:nvSpPr>
        <xdr:cNvPr id="6" name="テキスト ボックス 5"/>
        <xdr:cNvSpPr txBox="1"/>
      </xdr:nvSpPr>
      <xdr:spPr>
        <a:xfrm>
          <a:off x="661035" y="5321935"/>
          <a:ext cx="1009650" cy="2749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評価項目</a:t>
          </a:r>
        </a:p>
      </xdr:txBody>
    </xdr:sp>
    <xdr:clientData/>
  </xdr:twoCellAnchor>
  <xdr:twoCellAnchor>
    <xdr:from xmlns:xdr="http://schemas.openxmlformats.org/drawingml/2006/spreadsheetDrawing">
      <xdr:col>0</xdr:col>
      <xdr:colOff>76200</xdr:colOff>
      <xdr:row>29</xdr:row>
      <xdr:rowOff>66040</xdr:rowOff>
    </xdr:from>
    <xdr:to xmlns:xdr="http://schemas.openxmlformats.org/drawingml/2006/spreadsheetDrawing">
      <xdr:col>3</xdr:col>
      <xdr:colOff>47625</xdr:colOff>
      <xdr:row>30</xdr:row>
      <xdr:rowOff>142875</xdr:rowOff>
    </xdr:to>
    <xdr:sp macro="" textlink="">
      <xdr:nvSpPr>
        <xdr:cNvPr id="7" name="テキスト ボックス 6"/>
        <xdr:cNvSpPr txBox="1"/>
      </xdr:nvSpPr>
      <xdr:spPr>
        <a:xfrm>
          <a:off x="76200" y="5533390"/>
          <a:ext cx="685800" cy="314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業務名</a:t>
          </a:r>
          <a:endParaRPr kumimoji="1" lang="en-US" altLang="ja-JP" sz="1100" b="1"/>
        </a:p>
      </xdr:txBody>
    </xdr:sp>
    <xdr:clientData/>
  </xdr:twoCellAnchor>
  <xdr:twoCellAnchor>
    <xdr:from xmlns:xdr="http://schemas.openxmlformats.org/drawingml/2006/spreadsheetDrawing">
      <xdr:col>0</xdr:col>
      <xdr:colOff>0</xdr:colOff>
      <xdr:row>27</xdr:row>
      <xdr:rowOff>162560</xdr:rowOff>
    </xdr:from>
    <xdr:to xmlns:xdr="http://schemas.openxmlformats.org/drawingml/2006/spreadsheetDrawing">
      <xdr:col>5</xdr:col>
      <xdr:colOff>219075</xdr:colOff>
      <xdr:row>30</xdr:row>
      <xdr:rowOff>238125</xdr:rowOff>
    </xdr:to>
    <xdr:cxnSp macro="">
      <xdr:nvCxnSpPr>
        <xdr:cNvPr id="8" name="直線コネクタ 4"/>
        <xdr:cNvCxnSpPr/>
      </xdr:nvCxnSpPr>
      <xdr:spPr>
        <a:xfrm flipH="1" flipV="1">
          <a:off x="0" y="5287010"/>
          <a:ext cx="1409700" cy="656590"/>
        </a:xfrm>
        <a:prstGeom prst="straightConnector1">
          <a:avLst/>
        </a:prstGeom>
        <a:ln w="22225"/>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0</xdr:col>
      <xdr:colOff>76200</xdr:colOff>
      <xdr:row>29</xdr:row>
      <xdr:rowOff>66040</xdr:rowOff>
    </xdr:from>
    <xdr:to xmlns:xdr="http://schemas.openxmlformats.org/drawingml/2006/spreadsheetDrawing">
      <xdr:col>3</xdr:col>
      <xdr:colOff>47625</xdr:colOff>
      <xdr:row>30</xdr:row>
      <xdr:rowOff>142875</xdr:rowOff>
    </xdr:to>
    <xdr:sp macro="" textlink="">
      <xdr:nvSpPr>
        <xdr:cNvPr id="10" name="テキスト ボックス 9"/>
        <xdr:cNvSpPr txBox="1"/>
      </xdr:nvSpPr>
      <xdr:spPr>
        <a:xfrm>
          <a:off x="76200" y="5533390"/>
          <a:ext cx="685800" cy="314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t>業務名</a:t>
          </a:r>
          <a:endParaRPr kumimoji="1" lang="en-US" altLang="ja-JP" sz="1100" b="1"/>
        </a:p>
      </xdr:txBody>
    </xdr:sp>
    <xdr:clientData/>
  </xdr:twoCellAnchor>
</xdr:wsDr>
</file>

<file path=xl/theme/theme1.xml><?xml version="1.0" encoding="utf-8"?>
<a:theme xmlns:a="http://schemas.openxmlformats.org/drawingml/2006/main" name="Office テーマ">
  <a:themeElements>
    <a:clrScheme name="ASCO">
      <a:dk1>
        <a:srgbClr val="000000"/>
      </a:dk1>
      <a:lt1>
        <a:srgbClr val="FFFFFF"/>
      </a:lt1>
      <a:dk2>
        <a:srgbClr val="000000"/>
      </a:dk2>
      <a:lt2>
        <a:srgbClr val="808080"/>
      </a:lt2>
      <a:accent1>
        <a:srgbClr val="D93563"/>
      </a:accent1>
      <a:accent2>
        <a:srgbClr val="EFC3BD"/>
      </a:accent2>
      <a:accent3>
        <a:srgbClr val="E5E5E5"/>
      </a:accent3>
      <a:accent4>
        <a:srgbClr val="0099CC"/>
      </a:accent4>
      <a:accent5>
        <a:srgbClr val="D7EEFA"/>
      </a:accent5>
      <a:accent6>
        <a:srgbClr val="E4E164"/>
      </a:accent6>
      <a:hlink>
        <a:srgbClr val="009999"/>
      </a:hlink>
      <a:folHlink>
        <a:srgbClr val="99CC0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0:I50"/>
  <sheetViews>
    <sheetView view="pageBreakPreview" zoomScale="60" workbookViewId="0">
      <selection activeCell="E62" sqref="E62"/>
    </sheetView>
  </sheetViews>
  <sheetFormatPr defaultRowHeight="13.5"/>
  <cols>
    <col min="2" max="2" width="6.875" customWidth="1"/>
    <col min="258" max="258" width="6.875" customWidth="1"/>
    <col min="514" max="514" width="6.875" customWidth="1"/>
    <col min="770" max="770" width="6.875" customWidth="1"/>
    <col min="1026" max="1026" width="6.875" customWidth="1"/>
    <col min="1282" max="1282" width="6.875" customWidth="1"/>
    <col min="1538" max="1538" width="6.875" customWidth="1"/>
    <col min="1794" max="1794" width="6.875" customWidth="1"/>
    <col min="2050" max="2050" width="6.875" customWidth="1"/>
    <col min="2306" max="2306" width="6.875" customWidth="1"/>
    <col min="2562" max="2562" width="6.875" customWidth="1"/>
    <col min="2818" max="2818" width="6.875" customWidth="1"/>
    <col min="3074" max="3074" width="6.875" customWidth="1"/>
    <col min="3330" max="3330" width="6.875" customWidth="1"/>
    <col min="3586" max="3586" width="6.875" customWidth="1"/>
    <col min="3842" max="3842" width="6.875" customWidth="1"/>
    <col min="4098" max="4098" width="6.875" customWidth="1"/>
    <col min="4354" max="4354" width="6.875" customWidth="1"/>
    <col min="4610" max="4610" width="6.875" customWidth="1"/>
    <col min="4866" max="4866" width="6.875" customWidth="1"/>
    <col min="5122" max="5122" width="6.875" customWidth="1"/>
    <col min="5378" max="5378" width="6.875" customWidth="1"/>
    <col min="5634" max="5634" width="6.875" customWidth="1"/>
    <col min="5890" max="5890" width="6.875" customWidth="1"/>
    <col min="6146" max="6146" width="6.875" customWidth="1"/>
    <col min="6402" max="6402" width="6.875" customWidth="1"/>
    <col min="6658" max="6658" width="6.875" customWidth="1"/>
    <col min="6914" max="6914" width="6.875" customWidth="1"/>
    <col min="7170" max="7170" width="6.875" customWidth="1"/>
    <col min="7426" max="7426" width="6.875" customWidth="1"/>
    <col min="7682" max="7682" width="6.875" customWidth="1"/>
    <col min="7938" max="7938" width="6.875" customWidth="1"/>
    <col min="8194" max="8194" width="6.875" customWidth="1"/>
    <col min="8450" max="8450" width="6.875" customWidth="1"/>
    <col min="8706" max="8706" width="6.875" customWidth="1"/>
    <col min="8962" max="8962" width="6.875" customWidth="1"/>
    <col min="9218" max="9218" width="6.875" customWidth="1"/>
    <col min="9474" max="9474" width="6.875" customWidth="1"/>
    <col min="9730" max="9730" width="6.875" customWidth="1"/>
    <col min="9986" max="9986" width="6.875" customWidth="1"/>
    <col min="10242" max="10242" width="6.875" customWidth="1"/>
    <col min="10498" max="10498" width="6.875" customWidth="1"/>
    <col min="10754" max="10754" width="6.875" customWidth="1"/>
    <col min="11010" max="11010" width="6.875" customWidth="1"/>
    <col min="11266" max="11266" width="6.875" customWidth="1"/>
    <col min="11522" max="11522" width="6.875" customWidth="1"/>
    <col min="11778" max="11778" width="6.875" customWidth="1"/>
    <col min="12034" max="12034" width="6.875" customWidth="1"/>
    <col min="12290" max="12290" width="6.875" customWidth="1"/>
    <col min="12546" max="12546" width="6.875" customWidth="1"/>
    <col min="12802" max="12802" width="6.875" customWidth="1"/>
    <col min="13058" max="13058" width="6.875" customWidth="1"/>
    <col min="13314" max="13314" width="6.875" customWidth="1"/>
    <col min="13570" max="13570" width="6.875" customWidth="1"/>
    <col min="13826" max="13826" width="6.875" customWidth="1"/>
    <col min="14082" max="14082" width="6.875" customWidth="1"/>
    <col min="14338" max="14338" width="6.875" customWidth="1"/>
    <col min="14594" max="14594" width="6.875" customWidth="1"/>
    <col min="14850" max="14850" width="6.875" customWidth="1"/>
    <col min="15106" max="15106" width="6.875" customWidth="1"/>
    <col min="15362" max="15362" width="6.875" customWidth="1"/>
    <col min="15618" max="15618" width="6.875" customWidth="1"/>
    <col min="15874" max="15874" width="6.875" customWidth="1"/>
    <col min="16130" max="16130" width="6.875" customWidth="1"/>
  </cols>
  <sheetData>
    <row r="10" spans="1:9">
      <c r="A10" s="1"/>
      <c r="B10" s="1"/>
      <c r="C10" s="3" t="s">
        <v>569</v>
      </c>
      <c r="D10" s="4"/>
      <c r="E10" s="4"/>
      <c r="F10" s="4"/>
      <c r="G10" s="4"/>
      <c r="H10" s="4"/>
      <c r="I10" s="1"/>
    </row>
    <row r="11" spans="1:9">
      <c r="A11" s="1"/>
      <c r="B11" s="1"/>
      <c r="C11" s="4"/>
      <c r="D11" s="4"/>
      <c r="E11" s="4"/>
      <c r="F11" s="4"/>
      <c r="G11" s="4"/>
      <c r="H11" s="4"/>
      <c r="I11" s="1"/>
    </row>
    <row r="12" spans="1:9">
      <c r="A12" s="1"/>
      <c r="B12" s="1"/>
      <c r="C12" s="4"/>
      <c r="D12" s="4"/>
      <c r="E12" s="4"/>
      <c r="F12" s="4"/>
      <c r="G12" s="4"/>
      <c r="H12" s="4"/>
      <c r="I12" s="1"/>
    </row>
    <row r="13" spans="1:9">
      <c r="A13" s="1"/>
      <c r="B13" s="1"/>
      <c r="C13" s="4"/>
      <c r="D13" s="4"/>
      <c r="E13" s="4"/>
      <c r="F13" s="4"/>
      <c r="G13" s="4"/>
      <c r="H13" s="4"/>
      <c r="I13" s="1"/>
    </row>
    <row r="14" spans="1:9">
      <c r="A14" s="1"/>
      <c r="B14" s="1"/>
      <c r="C14" s="4"/>
      <c r="D14" s="4"/>
      <c r="E14" s="4"/>
      <c r="F14" s="4"/>
      <c r="G14" s="4"/>
      <c r="H14" s="4"/>
      <c r="I14" s="1"/>
    </row>
    <row r="15" spans="1:9">
      <c r="A15" s="1"/>
      <c r="B15" s="1"/>
      <c r="C15" s="4"/>
      <c r="D15" s="4"/>
      <c r="E15" s="4"/>
      <c r="F15" s="4"/>
      <c r="G15" s="4"/>
      <c r="H15" s="4"/>
      <c r="I15" s="1"/>
    </row>
    <row r="16" spans="1:9">
      <c r="A16" s="1"/>
      <c r="B16" s="1"/>
      <c r="C16" s="4"/>
      <c r="D16" s="4"/>
      <c r="E16" s="4"/>
      <c r="F16" s="4"/>
      <c r="G16" s="4"/>
      <c r="H16" s="4"/>
      <c r="I16" s="1"/>
    </row>
    <row r="17" spans="1:9">
      <c r="A17" s="1"/>
      <c r="B17" s="1"/>
      <c r="C17" s="4"/>
      <c r="D17" s="4"/>
      <c r="E17" s="4"/>
      <c r="F17" s="4"/>
      <c r="G17" s="4"/>
      <c r="H17" s="4"/>
      <c r="I17" s="1"/>
    </row>
    <row r="18" spans="1:9">
      <c r="A18" s="1"/>
      <c r="B18" s="1"/>
      <c r="C18" s="4"/>
      <c r="D18" s="4"/>
      <c r="E18" s="4"/>
      <c r="F18" s="4"/>
      <c r="G18" s="4"/>
      <c r="H18" s="4"/>
      <c r="I18" s="1"/>
    </row>
    <row r="19" spans="1:9">
      <c r="A19" s="1"/>
      <c r="B19" s="1"/>
      <c r="C19" s="4"/>
      <c r="D19" s="4"/>
      <c r="E19" s="4"/>
      <c r="F19" s="4"/>
      <c r="G19" s="4"/>
      <c r="H19" s="4"/>
      <c r="I19" s="1"/>
    </row>
    <row r="20" spans="1:9">
      <c r="A20" s="1"/>
      <c r="B20" s="1"/>
      <c r="C20" s="4"/>
      <c r="D20" s="11" t="s">
        <v>570</v>
      </c>
      <c r="E20" s="11"/>
      <c r="F20" s="11"/>
      <c r="G20" s="11"/>
      <c r="H20" s="4"/>
      <c r="I20" s="1"/>
    </row>
    <row r="21" spans="1:9">
      <c r="A21" s="1"/>
      <c r="B21" s="1"/>
      <c r="C21" s="4"/>
      <c r="D21" s="11"/>
      <c r="E21" s="11"/>
      <c r="F21" s="11"/>
      <c r="G21" s="11"/>
      <c r="H21" s="4"/>
      <c r="I21" s="1"/>
    </row>
    <row r="22" spans="1:9">
      <c r="A22" s="1"/>
      <c r="B22" s="1"/>
      <c r="C22" s="4"/>
      <c r="D22" s="11"/>
      <c r="E22" s="11"/>
      <c r="F22" s="11"/>
      <c r="G22" s="11"/>
      <c r="H22" s="4"/>
      <c r="I22" s="1"/>
    </row>
    <row r="23" spans="1:9">
      <c r="A23" s="1"/>
      <c r="B23" s="1"/>
      <c r="C23" s="4"/>
      <c r="D23" s="4"/>
      <c r="E23" s="4"/>
      <c r="F23" s="4"/>
      <c r="G23" s="4"/>
      <c r="H23" s="4"/>
      <c r="I23" s="1"/>
    </row>
    <row r="24" spans="1:9">
      <c r="A24" s="1"/>
      <c r="B24" s="1"/>
      <c r="C24" s="4"/>
      <c r="D24" s="4"/>
      <c r="E24" s="4"/>
      <c r="F24" s="4"/>
      <c r="G24" s="4"/>
      <c r="H24" s="4"/>
      <c r="I24" s="1"/>
    </row>
    <row r="25" spans="1:9" ht="17.25">
      <c r="A25" s="1"/>
      <c r="B25" s="2" t="s">
        <v>325</v>
      </c>
      <c r="C25" s="4"/>
      <c r="D25" s="4"/>
      <c r="E25" s="4"/>
      <c r="F25" s="4"/>
      <c r="G25" s="4"/>
      <c r="H25" s="4"/>
      <c r="I25" s="1"/>
    </row>
    <row r="26" spans="1:9" ht="14.25">
      <c r="A26" s="1"/>
      <c r="B26" s="1"/>
      <c r="C26" s="4"/>
      <c r="D26" s="4"/>
      <c r="E26" s="4"/>
      <c r="F26" s="4"/>
      <c r="G26" s="4"/>
      <c r="H26" s="4"/>
      <c r="I26" s="1"/>
    </row>
    <row r="27" spans="1:9" ht="15">
      <c r="A27" s="1"/>
      <c r="B27" s="1"/>
      <c r="C27" s="5" t="s">
        <v>391</v>
      </c>
      <c r="D27" s="12"/>
      <c r="E27" s="16" t="s">
        <v>286</v>
      </c>
      <c r="F27" s="12"/>
      <c r="G27" s="23"/>
      <c r="H27" s="12" t="s">
        <v>199</v>
      </c>
      <c r="I27" s="27"/>
    </row>
    <row r="28" spans="1:9" ht="14.25">
      <c r="A28" s="1"/>
      <c r="B28" s="1"/>
      <c r="C28" s="6" t="s">
        <v>571</v>
      </c>
      <c r="D28" s="13"/>
      <c r="E28" s="17"/>
      <c r="F28" s="20"/>
      <c r="G28" s="24"/>
      <c r="H28" s="20"/>
      <c r="I28" s="28"/>
    </row>
    <row r="29" spans="1:9" ht="14.25">
      <c r="A29" s="1"/>
      <c r="B29" s="1"/>
      <c r="C29" s="7" t="s">
        <v>572</v>
      </c>
      <c r="D29" s="14"/>
      <c r="E29" s="18"/>
      <c r="F29" s="21"/>
      <c r="G29" s="25"/>
      <c r="H29" s="21"/>
      <c r="I29" s="29"/>
    </row>
    <row r="30" spans="1:9" ht="14.25">
      <c r="A30" s="1"/>
      <c r="B30" s="1"/>
      <c r="C30" s="7" t="s">
        <v>573</v>
      </c>
      <c r="D30" s="14"/>
      <c r="E30" s="18"/>
      <c r="F30" s="21"/>
      <c r="G30" s="25"/>
      <c r="H30" s="21"/>
      <c r="I30" s="29"/>
    </row>
    <row r="31" spans="1:9" ht="14.25">
      <c r="A31" s="1"/>
      <c r="B31" s="1"/>
      <c r="C31" s="7" t="s">
        <v>559</v>
      </c>
      <c r="D31" s="14"/>
      <c r="E31" s="18"/>
      <c r="F31" s="21"/>
      <c r="G31" s="25"/>
      <c r="H31" s="21"/>
      <c r="I31" s="29"/>
    </row>
    <row r="32" spans="1:9" ht="14.25">
      <c r="A32" s="1"/>
      <c r="B32" s="1"/>
      <c r="C32" s="7" t="s">
        <v>574</v>
      </c>
      <c r="D32" s="14"/>
      <c r="E32" s="18"/>
      <c r="F32" s="21"/>
      <c r="G32" s="25"/>
      <c r="H32" s="21"/>
      <c r="I32" s="29"/>
    </row>
    <row r="33" spans="1:9" ht="14.25">
      <c r="A33" s="1"/>
      <c r="B33" s="1"/>
      <c r="C33" s="7" t="s">
        <v>439</v>
      </c>
      <c r="D33" s="14"/>
      <c r="E33" s="18"/>
      <c r="F33" s="21"/>
      <c r="G33" s="25"/>
      <c r="H33" s="21"/>
      <c r="I33" s="29"/>
    </row>
    <row r="34" spans="1:9" ht="14.25">
      <c r="C34" s="7" t="s">
        <v>575</v>
      </c>
      <c r="D34" s="14"/>
      <c r="E34" s="18"/>
      <c r="F34" s="21"/>
      <c r="G34" s="25"/>
      <c r="H34" s="21"/>
      <c r="I34" s="29"/>
    </row>
    <row r="35" spans="1:9" ht="14.25">
      <c r="C35" s="7"/>
      <c r="D35" s="14"/>
      <c r="E35" s="18"/>
      <c r="F35" s="21"/>
      <c r="G35" s="25"/>
      <c r="H35" s="21"/>
      <c r="I35" s="29"/>
    </row>
    <row r="36" spans="1:9" ht="14.25">
      <c r="C36" s="7"/>
      <c r="D36" s="14"/>
      <c r="E36" s="18"/>
      <c r="F36" s="21"/>
      <c r="G36" s="25"/>
      <c r="H36" s="21"/>
      <c r="I36" s="29"/>
    </row>
    <row r="37" spans="1:9" ht="15">
      <c r="C37" s="8"/>
      <c r="D37" s="15"/>
      <c r="E37" s="19"/>
      <c r="F37" s="22"/>
      <c r="G37" s="26"/>
      <c r="H37" s="22"/>
      <c r="I37" s="30"/>
    </row>
    <row r="38" spans="1:9">
      <c r="C38" s="9" t="s">
        <v>430</v>
      </c>
    </row>
    <row r="41" spans="1:9">
      <c r="D41" s="11" t="s">
        <v>576</v>
      </c>
      <c r="E41" s="11"/>
      <c r="F41" s="11"/>
      <c r="G41" s="11"/>
    </row>
    <row r="42" spans="1:9">
      <c r="D42" s="11"/>
      <c r="E42" s="11"/>
      <c r="F42" s="11"/>
      <c r="G42" s="11"/>
    </row>
    <row r="47" spans="1:9">
      <c r="C47" s="10" t="s">
        <v>312</v>
      </c>
      <c r="D47" s="10"/>
      <c r="E47" s="10"/>
      <c r="F47" s="10"/>
      <c r="G47" s="10"/>
      <c r="H47" s="10"/>
    </row>
    <row r="48" spans="1:9">
      <c r="C48" s="10"/>
      <c r="D48" s="10"/>
      <c r="E48" s="10"/>
      <c r="F48" s="10"/>
      <c r="G48" s="10"/>
      <c r="H48" s="10"/>
    </row>
    <row r="49" spans="3:8">
      <c r="C49" s="10"/>
      <c r="D49" s="10"/>
      <c r="E49" s="10"/>
      <c r="F49" s="10"/>
      <c r="G49" s="10"/>
      <c r="H49" s="10"/>
    </row>
    <row r="50" spans="3:8">
      <c r="C50" s="10"/>
      <c r="D50" s="10"/>
      <c r="E50" s="10"/>
      <c r="F50" s="10"/>
      <c r="G50" s="10"/>
      <c r="H50" s="10"/>
    </row>
  </sheetData>
  <mergeCells count="37">
    <mergeCell ref="C27:D27"/>
    <mergeCell ref="E27:G27"/>
    <mergeCell ref="H27:I27"/>
    <mergeCell ref="C28:D28"/>
    <mergeCell ref="E28:G28"/>
    <mergeCell ref="H28:I28"/>
    <mergeCell ref="C29:D29"/>
    <mergeCell ref="E29:G29"/>
    <mergeCell ref="H29:I29"/>
    <mergeCell ref="C30:D30"/>
    <mergeCell ref="E30:G30"/>
    <mergeCell ref="H30:I30"/>
    <mergeCell ref="C31:D31"/>
    <mergeCell ref="E31:G31"/>
    <mergeCell ref="H31:I31"/>
    <mergeCell ref="C32:D32"/>
    <mergeCell ref="E32:G32"/>
    <mergeCell ref="H32:I32"/>
    <mergeCell ref="C33:D33"/>
    <mergeCell ref="E33:G33"/>
    <mergeCell ref="H33:I33"/>
    <mergeCell ref="C34:D34"/>
    <mergeCell ref="E34:G34"/>
    <mergeCell ref="H34:I34"/>
    <mergeCell ref="C35:D35"/>
    <mergeCell ref="E35:G35"/>
    <mergeCell ref="H35:I35"/>
    <mergeCell ref="C36:D36"/>
    <mergeCell ref="E36:G36"/>
    <mergeCell ref="H36:I36"/>
    <mergeCell ref="C37:D37"/>
    <mergeCell ref="E37:G37"/>
    <mergeCell ref="H37:I37"/>
    <mergeCell ref="D20:G22"/>
    <mergeCell ref="D41:G42"/>
    <mergeCell ref="C47:H50"/>
    <mergeCell ref="C10:H16"/>
  </mergeCells>
  <phoneticPr fontId="1"/>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L119"/>
  <sheetViews>
    <sheetView showGridLines="0" view="pageBreakPreview" zoomScaleSheetLayoutView="100" workbookViewId="0">
      <selection activeCell="B15" sqref="B15"/>
    </sheetView>
  </sheetViews>
  <sheetFormatPr defaultRowHeight="13.5"/>
  <cols>
    <col min="1" max="1" width="11.875" customWidth="1"/>
  </cols>
  <sheetData>
    <row r="1" spans="1:12">
      <c r="A1" s="36" t="s">
        <v>116</v>
      </c>
      <c r="L1" s="306" t="s">
        <v>507</v>
      </c>
    </row>
    <row r="2" spans="1:12" ht="23.25" customHeight="1">
      <c r="A2" s="236" t="s">
        <v>558</v>
      </c>
      <c r="B2" s="236"/>
      <c r="C2" s="236"/>
      <c r="D2" s="236"/>
      <c r="E2" s="236"/>
      <c r="F2" s="236"/>
      <c r="G2" s="236"/>
      <c r="H2" s="236"/>
      <c r="I2" s="236"/>
      <c r="J2" s="236"/>
      <c r="K2" s="236"/>
    </row>
    <row r="3" spans="1:12" ht="23.25" customHeight="1">
      <c r="A3" s="256" t="s">
        <v>394</v>
      </c>
      <c r="B3" s="273"/>
      <c r="C3" s="273"/>
      <c r="D3" s="273"/>
      <c r="E3" s="273"/>
      <c r="F3" s="273"/>
      <c r="G3" s="273"/>
      <c r="H3" s="273"/>
      <c r="I3" s="273"/>
      <c r="J3" s="273"/>
      <c r="K3" s="290"/>
    </row>
    <row r="4" spans="1:12" ht="23.25" customHeight="1">
      <c r="A4" s="257" t="s">
        <v>273</v>
      </c>
      <c r="B4" s="274"/>
      <c r="C4" s="274"/>
      <c r="D4" s="274"/>
      <c r="E4" s="274"/>
      <c r="F4" s="286" t="s">
        <v>185</v>
      </c>
      <c r="G4" s="274"/>
      <c r="H4" s="274"/>
      <c r="I4" s="286" t="s">
        <v>400</v>
      </c>
      <c r="J4" s="274"/>
      <c r="K4" s="291"/>
    </row>
    <row r="5" spans="1:12" ht="23.25" customHeight="1">
      <c r="A5" s="258" t="s">
        <v>396</v>
      </c>
      <c r="B5" s="36"/>
      <c r="C5" s="36"/>
      <c r="D5" s="36"/>
      <c r="E5" s="36"/>
      <c r="F5" s="36"/>
      <c r="G5" s="36"/>
      <c r="H5" s="36"/>
      <c r="I5" s="36"/>
      <c r="J5" s="36"/>
      <c r="K5" s="292"/>
    </row>
    <row r="6" spans="1:12" ht="23.25" customHeight="1">
      <c r="A6" s="259" t="s">
        <v>85</v>
      </c>
      <c r="B6" s="275"/>
      <c r="C6" s="275"/>
      <c r="D6" s="275"/>
      <c r="E6" s="275"/>
      <c r="F6" s="275"/>
      <c r="G6" s="275"/>
      <c r="H6" s="275"/>
      <c r="I6" s="275"/>
      <c r="J6" s="275"/>
      <c r="K6" s="293"/>
    </row>
    <row r="7" spans="1:12" ht="23.25" customHeight="1">
      <c r="A7" s="259" t="s">
        <v>397</v>
      </c>
      <c r="B7" s="276"/>
      <c r="C7" s="276"/>
      <c r="D7" s="276"/>
      <c r="E7" s="276"/>
      <c r="F7" s="276"/>
      <c r="G7" s="276"/>
      <c r="H7" s="276"/>
      <c r="I7" s="276"/>
      <c r="J7" s="276"/>
      <c r="K7" s="293"/>
    </row>
    <row r="8" spans="1:12" ht="23.25" customHeight="1">
      <c r="A8" s="259" t="s">
        <v>124</v>
      </c>
      <c r="B8" s="275"/>
      <c r="C8" s="275"/>
      <c r="D8" s="275"/>
      <c r="E8" s="275"/>
      <c r="F8" s="275"/>
      <c r="G8" s="275"/>
      <c r="H8" s="275"/>
      <c r="I8" s="275"/>
      <c r="J8" s="275"/>
      <c r="K8" s="293"/>
    </row>
    <row r="9" spans="1:12" ht="23.25" customHeight="1">
      <c r="A9" s="258" t="s">
        <v>399</v>
      </c>
      <c r="K9" s="294"/>
    </row>
    <row r="10" spans="1:12" ht="23.25" customHeight="1">
      <c r="A10" s="260"/>
      <c r="B10" s="277"/>
      <c r="C10" s="277"/>
      <c r="D10" s="277"/>
      <c r="E10" s="277"/>
      <c r="F10" s="277"/>
      <c r="G10" s="277"/>
      <c r="H10" s="277"/>
      <c r="I10" s="277"/>
      <c r="J10" s="277"/>
      <c r="K10" s="295"/>
    </row>
    <row r="11" spans="1:12" ht="23.25" customHeight="1">
      <c r="A11" s="36"/>
    </row>
    <row r="12" spans="1:12" ht="23.25" customHeight="1">
      <c r="A12" s="256" t="s">
        <v>111</v>
      </c>
      <c r="B12" s="273"/>
      <c r="C12" s="273"/>
      <c r="D12" s="273"/>
      <c r="E12" s="273"/>
      <c r="F12" s="273"/>
      <c r="G12" s="273"/>
      <c r="H12" s="273"/>
      <c r="I12" s="273"/>
      <c r="J12" s="273"/>
      <c r="K12" s="290"/>
    </row>
    <row r="13" spans="1:12" ht="23.25" customHeight="1">
      <c r="A13" s="257" t="s">
        <v>273</v>
      </c>
      <c r="B13" s="274"/>
      <c r="C13" s="274"/>
      <c r="D13" s="274"/>
      <c r="E13" s="274"/>
      <c r="F13" s="286" t="s">
        <v>185</v>
      </c>
      <c r="G13" s="274"/>
      <c r="H13" s="288"/>
      <c r="I13" s="274" t="s">
        <v>400</v>
      </c>
      <c r="J13" s="274"/>
      <c r="K13" s="291"/>
    </row>
    <row r="14" spans="1:12" ht="23.25" customHeight="1">
      <c r="A14" s="258" t="s">
        <v>413</v>
      </c>
      <c r="K14" s="294"/>
    </row>
    <row r="15" spans="1:12" ht="23.25" customHeight="1">
      <c r="A15" s="261" t="s">
        <v>405</v>
      </c>
      <c r="B15" s="278" t="s">
        <v>152</v>
      </c>
      <c r="C15" s="279" t="s">
        <v>82</v>
      </c>
      <c r="D15" s="279" t="s">
        <v>229</v>
      </c>
      <c r="E15" s="242" t="s">
        <v>226</v>
      </c>
      <c r="F15" s="242"/>
      <c r="G15" s="242"/>
      <c r="H15" s="242"/>
      <c r="I15" s="242"/>
      <c r="J15" s="242"/>
      <c r="K15" s="296"/>
    </row>
    <row r="16" spans="1:12" ht="23.25" customHeight="1">
      <c r="A16" s="261" t="s">
        <v>150</v>
      </c>
      <c r="B16" s="229"/>
      <c r="C16" s="229"/>
      <c r="D16" s="229"/>
      <c r="E16" s="68"/>
      <c r="F16" s="68"/>
      <c r="G16" s="68"/>
      <c r="H16" s="68"/>
      <c r="I16" s="68"/>
      <c r="J16" s="68"/>
      <c r="K16" s="81"/>
    </row>
    <row r="17" spans="1:11" ht="23.25" customHeight="1">
      <c r="A17" s="261" t="s">
        <v>71</v>
      </c>
      <c r="B17" s="229"/>
      <c r="C17" s="229"/>
      <c r="D17" s="229"/>
      <c r="E17" s="68"/>
      <c r="F17" s="68"/>
      <c r="G17" s="68"/>
      <c r="H17" s="68"/>
      <c r="I17" s="68"/>
      <c r="J17" s="68"/>
      <c r="K17" s="81"/>
    </row>
    <row r="18" spans="1:11" ht="23.25" customHeight="1">
      <c r="A18" s="261" t="s">
        <v>146</v>
      </c>
      <c r="B18" s="229"/>
      <c r="C18" s="229"/>
      <c r="D18" s="229"/>
      <c r="E18" s="68"/>
      <c r="F18" s="68"/>
      <c r="G18" s="68"/>
      <c r="H18" s="68"/>
      <c r="I18" s="68"/>
      <c r="J18" s="68"/>
      <c r="K18" s="81"/>
    </row>
    <row r="19" spans="1:11" ht="23.25" customHeight="1">
      <c r="A19" s="261" t="s">
        <v>406</v>
      </c>
      <c r="B19" s="229"/>
      <c r="C19" s="229"/>
      <c r="D19" s="229"/>
      <c r="E19" s="68"/>
      <c r="F19" s="68"/>
      <c r="G19" s="68"/>
      <c r="H19" s="68"/>
      <c r="I19" s="68"/>
      <c r="J19" s="68"/>
      <c r="K19" s="81"/>
    </row>
    <row r="20" spans="1:11" ht="23.25" customHeight="1">
      <c r="A20" s="261" t="s">
        <v>408</v>
      </c>
      <c r="B20" s="229"/>
      <c r="C20" s="229"/>
      <c r="D20" s="229"/>
      <c r="E20" s="68"/>
      <c r="F20" s="68"/>
      <c r="G20" s="68"/>
      <c r="H20" s="68"/>
      <c r="I20" s="68"/>
      <c r="J20" s="68"/>
      <c r="K20" s="81"/>
    </row>
    <row r="21" spans="1:11" ht="23.25" customHeight="1">
      <c r="A21" s="261" t="s">
        <v>398</v>
      </c>
      <c r="B21" s="229"/>
      <c r="C21" s="229"/>
      <c r="D21" s="229"/>
      <c r="E21" s="68"/>
      <c r="F21" s="68"/>
      <c r="G21" s="68"/>
      <c r="H21" s="68"/>
      <c r="I21" s="68"/>
      <c r="J21" s="68"/>
      <c r="K21" s="81"/>
    </row>
    <row r="22" spans="1:11" ht="23.25" customHeight="1">
      <c r="A22" s="261" t="s">
        <v>412</v>
      </c>
      <c r="B22" s="229"/>
      <c r="C22" s="229"/>
      <c r="D22" s="229"/>
      <c r="E22" s="68"/>
      <c r="F22" s="68"/>
      <c r="G22" s="68"/>
      <c r="H22" s="68"/>
      <c r="I22" s="68"/>
      <c r="J22" s="68"/>
      <c r="K22" s="81"/>
    </row>
    <row r="23" spans="1:11" ht="23.25" customHeight="1">
      <c r="A23" s="262"/>
      <c r="B23" s="229"/>
      <c r="C23" s="229"/>
      <c r="D23" s="229"/>
      <c r="E23" s="68"/>
      <c r="F23" s="68"/>
      <c r="G23" s="68"/>
      <c r="H23" s="68"/>
      <c r="I23" s="68"/>
      <c r="J23" s="68"/>
      <c r="K23" s="81"/>
    </row>
    <row r="24" spans="1:11" ht="23.25" customHeight="1">
      <c r="A24" s="263" t="s">
        <v>30</v>
      </c>
      <c r="B24" s="1"/>
      <c r="C24" s="1"/>
      <c r="D24" s="1"/>
      <c r="E24" s="1"/>
      <c r="F24" s="1"/>
      <c r="G24" s="1"/>
      <c r="H24" s="1"/>
      <c r="I24" s="1"/>
      <c r="J24" s="1"/>
      <c r="K24" s="297"/>
    </row>
    <row r="25" spans="1:11" ht="23.25" customHeight="1">
      <c r="A25" s="261" t="s">
        <v>67</v>
      </c>
      <c r="B25" s="229" t="s">
        <v>414</v>
      </c>
      <c r="C25" s="229" t="s">
        <v>282</v>
      </c>
      <c r="D25" s="229" t="s">
        <v>415</v>
      </c>
      <c r="E25" s="229" t="s">
        <v>420</v>
      </c>
      <c r="F25" s="229"/>
      <c r="G25" s="229"/>
      <c r="H25" s="229"/>
      <c r="I25" s="229"/>
      <c r="J25" s="229"/>
      <c r="K25" s="298"/>
    </row>
    <row r="26" spans="1:11" ht="23.25" customHeight="1">
      <c r="A26" s="261" t="s">
        <v>418</v>
      </c>
      <c r="B26" s="229"/>
      <c r="C26" s="229"/>
      <c r="D26" s="229"/>
      <c r="E26" s="229"/>
      <c r="F26" s="229"/>
      <c r="G26" s="229"/>
      <c r="H26" s="229"/>
      <c r="I26" s="229"/>
      <c r="J26" s="229"/>
      <c r="K26" s="298"/>
    </row>
    <row r="27" spans="1:11" ht="23.25" customHeight="1">
      <c r="A27" s="261" t="s">
        <v>96</v>
      </c>
      <c r="B27" s="279" t="s">
        <v>271</v>
      </c>
      <c r="C27" s="279" t="s">
        <v>271</v>
      </c>
      <c r="D27" s="279" t="s">
        <v>271</v>
      </c>
      <c r="E27" s="279" t="s">
        <v>271</v>
      </c>
      <c r="F27" s="279" t="s">
        <v>271</v>
      </c>
      <c r="G27" s="279" t="s">
        <v>271</v>
      </c>
      <c r="H27" s="279" t="s">
        <v>271</v>
      </c>
      <c r="I27" s="279" t="s">
        <v>271</v>
      </c>
      <c r="J27" s="279" t="s">
        <v>271</v>
      </c>
      <c r="K27" s="299" t="s">
        <v>271</v>
      </c>
    </row>
    <row r="28" spans="1:11" ht="23.25" customHeight="1">
      <c r="A28" s="261" t="s">
        <v>92</v>
      </c>
      <c r="B28" s="279" t="s">
        <v>271</v>
      </c>
      <c r="C28" s="279" t="s">
        <v>271</v>
      </c>
      <c r="D28" s="279" t="s">
        <v>271</v>
      </c>
      <c r="E28" s="279" t="s">
        <v>271</v>
      </c>
      <c r="F28" s="279" t="s">
        <v>271</v>
      </c>
      <c r="G28" s="279" t="s">
        <v>271</v>
      </c>
      <c r="H28" s="279" t="s">
        <v>271</v>
      </c>
      <c r="I28" s="279" t="s">
        <v>271</v>
      </c>
      <c r="J28" s="279" t="s">
        <v>271</v>
      </c>
      <c r="K28" s="299" t="s">
        <v>271</v>
      </c>
    </row>
    <row r="29" spans="1:11" ht="23.25" customHeight="1">
      <c r="A29" s="258" t="s">
        <v>372</v>
      </c>
      <c r="B29" s="36"/>
      <c r="C29" s="36"/>
      <c r="D29" s="36"/>
      <c r="E29" s="36"/>
      <c r="F29" s="36" t="s">
        <v>402</v>
      </c>
      <c r="G29" s="36"/>
      <c r="H29" s="36"/>
      <c r="I29" s="36"/>
      <c r="J29" s="36"/>
      <c r="K29" s="292"/>
    </row>
    <row r="30" spans="1:11" ht="23.25" customHeight="1">
      <c r="A30" s="261" t="s">
        <v>115</v>
      </c>
      <c r="B30" s="242" t="s">
        <v>421</v>
      </c>
      <c r="C30" s="283" t="s">
        <v>401</v>
      </c>
      <c r="D30" s="284"/>
      <c r="E30" s="36"/>
      <c r="F30" s="242" t="s">
        <v>424</v>
      </c>
      <c r="G30" s="242" t="s">
        <v>425</v>
      </c>
      <c r="H30" s="242" t="s">
        <v>429</v>
      </c>
      <c r="I30" s="242"/>
      <c r="J30" s="242"/>
      <c r="K30" s="296"/>
    </row>
    <row r="31" spans="1:11" ht="23.25" customHeight="1">
      <c r="A31" s="261" t="s">
        <v>422</v>
      </c>
      <c r="B31" s="279" t="s">
        <v>419</v>
      </c>
      <c r="C31" s="283"/>
      <c r="D31" s="284"/>
      <c r="E31" s="36"/>
      <c r="F31" s="279" t="s">
        <v>426</v>
      </c>
      <c r="G31" s="279" t="s">
        <v>419</v>
      </c>
      <c r="H31" s="242"/>
      <c r="I31" s="242"/>
      <c r="J31" s="242"/>
      <c r="K31" s="296"/>
    </row>
    <row r="32" spans="1:11" ht="23.25" customHeight="1">
      <c r="A32" s="261" t="s">
        <v>215</v>
      </c>
      <c r="B32" s="279" t="s">
        <v>419</v>
      </c>
      <c r="C32" s="283"/>
      <c r="D32" s="284"/>
      <c r="E32" s="36"/>
      <c r="F32" s="279" t="s">
        <v>428</v>
      </c>
      <c r="G32" s="279" t="s">
        <v>419</v>
      </c>
      <c r="H32" s="242"/>
      <c r="I32" s="242"/>
      <c r="J32" s="242"/>
      <c r="K32" s="296"/>
    </row>
    <row r="33" spans="1:11" ht="23.25" customHeight="1">
      <c r="A33" s="261" t="s">
        <v>423</v>
      </c>
      <c r="B33" s="279" t="s">
        <v>419</v>
      </c>
      <c r="C33" s="283"/>
      <c r="D33" s="284"/>
      <c r="E33" s="36"/>
      <c r="F33" s="279" t="s">
        <v>37</v>
      </c>
      <c r="G33" s="279" t="s">
        <v>419</v>
      </c>
      <c r="H33" s="242"/>
      <c r="I33" s="242"/>
      <c r="J33" s="242"/>
      <c r="K33" s="296"/>
    </row>
    <row r="34" spans="1:11" ht="23.25" customHeight="1">
      <c r="A34" s="261" t="s">
        <v>321</v>
      </c>
      <c r="B34" s="279" t="s">
        <v>419</v>
      </c>
      <c r="C34" s="283"/>
      <c r="D34" s="284"/>
      <c r="E34" s="36"/>
      <c r="F34" s="279" t="s">
        <v>390</v>
      </c>
      <c r="G34" s="279" t="s">
        <v>419</v>
      </c>
      <c r="H34" s="239" t="s">
        <v>1</v>
      </c>
      <c r="I34" s="239"/>
      <c r="J34" s="239"/>
      <c r="K34" s="300"/>
    </row>
    <row r="35" spans="1:11" ht="23.25" customHeight="1">
      <c r="A35" s="261" t="s">
        <v>134</v>
      </c>
      <c r="B35" s="279" t="s">
        <v>419</v>
      </c>
      <c r="C35" s="283"/>
      <c r="D35" s="284"/>
      <c r="E35" s="36"/>
      <c r="F35" s="279"/>
      <c r="G35" s="279" t="s">
        <v>419</v>
      </c>
      <c r="H35" s="242"/>
      <c r="I35" s="242"/>
      <c r="J35" s="242"/>
      <c r="K35" s="296"/>
    </row>
    <row r="36" spans="1:11" ht="23.25" customHeight="1">
      <c r="A36" s="261"/>
      <c r="B36" s="279" t="s">
        <v>419</v>
      </c>
      <c r="C36" s="283"/>
      <c r="D36" s="284"/>
      <c r="E36" s="36"/>
      <c r="F36" s="279"/>
      <c r="G36" s="279" t="s">
        <v>419</v>
      </c>
      <c r="H36" s="242"/>
      <c r="I36" s="242"/>
      <c r="J36" s="242"/>
      <c r="K36" s="296"/>
    </row>
    <row r="37" spans="1:11" ht="23.25" customHeight="1">
      <c r="A37" s="258" t="s">
        <v>450</v>
      </c>
      <c r="B37" s="36"/>
      <c r="C37" s="241"/>
      <c r="D37" s="241"/>
      <c r="E37" s="36"/>
      <c r="F37" s="36"/>
      <c r="G37" s="36"/>
      <c r="H37" s="241"/>
      <c r="I37" s="241"/>
      <c r="J37" s="241"/>
      <c r="K37" s="301"/>
    </row>
    <row r="38" spans="1:11" ht="23.25" customHeight="1">
      <c r="A38" s="245" t="s">
        <v>460</v>
      </c>
      <c r="B38" s="242" t="s">
        <v>117</v>
      </c>
      <c r="C38" s="242"/>
      <c r="D38" s="242"/>
      <c r="E38" s="242"/>
      <c r="F38" s="242" t="s">
        <v>352</v>
      </c>
      <c r="G38" s="242"/>
      <c r="H38" s="242"/>
      <c r="I38" s="242" t="s">
        <v>199</v>
      </c>
      <c r="J38" s="242"/>
      <c r="K38" s="296"/>
    </row>
    <row r="39" spans="1:11" ht="23.25" customHeight="1">
      <c r="A39" s="261"/>
      <c r="B39" s="242"/>
      <c r="C39" s="242"/>
      <c r="D39" s="242"/>
      <c r="E39" s="242"/>
      <c r="F39" s="242"/>
      <c r="G39" s="242"/>
      <c r="H39" s="242"/>
      <c r="I39" s="242"/>
      <c r="J39" s="242"/>
      <c r="K39" s="296"/>
    </row>
    <row r="40" spans="1:11" ht="23.25" customHeight="1">
      <c r="A40" s="261"/>
      <c r="B40" s="242"/>
      <c r="C40" s="242"/>
      <c r="D40" s="242"/>
      <c r="E40" s="242"/>
      <c r="F40" s="242"/>
      <c r="G40" s="242"/>
      <c r="H40" s="242"/>
      <c r="I40" s="242"/>
      <c r="J40" s="242"/>
      <c r="K40" s="296"/>
    </row>
    <row r="41" spans="1:11" ht="23.25" customHeight="1">
      <c r="A41" s="258" t="s">
        <v>191</v>
      </c>
      <c r="B41" s="36"/>
      <c r="C41" s="241"/>
      <c r="D41" s="241"/>
      <c r="E41" s="36"/>
      <c r="F41" s="36"/>
      <c r="G41" s="36"/>
      <c r="H41" s="241"/>
      <c r="I41" s="241"/>
      <c r="J41" s="241"/>
      <c r="K41" s="301"/>
    </row>
    <row r="42" spans="1:11" ht="23.25" customHeight="1">
      <c r="A42" s="245" t="s">
        <v>324</v>
      </c>
      <c r="B42" s="242" t="s">
        <v>117</v>
      </c>
      <c r="C42" s="242"/>
      <c r="D42" s="242"/>
      <c r="E42" s="242"/>
      <c r="F42" s="242" t="s">
        <v>492</v>
      </c>
      <c r="G42" s="242"/>
      <c r="H42" s="242"/>
      <c r="I42" s="242" t="s">
        <v>199</v>
      </c>
      <c r="J42" s="242"/>
      <c r="K42" s="296"/>
    </row>
    <row r="43" spans="1:11" ht="23.25" customHeight="1">
      <c r="A43" s="261"/>
      <c r="B43" s="242"/>
      <c r="C43" s="242"/>
      <c r="D43" s="242"/>
      <c r="E43" s="242"/>
      <c r="F43" s="242"/>
      <c r="G43" s="242"/>
      <c r="H43" s="242"/>
      <c r="I43" s="242"/>
      <c r="J43" s="242"/>
      <c r="K43" s="296"/>
    </row>
    <row r="44" spans="1:11" ht="23.25" customHeight="1">
      <c r="A44" s="261"/>
      <c r="B44" s="242"/>
      <c r="C44" s="242"/>
      <c r="D44" s="242"/>
      <c r="E44" s="242"/>
      <c r="F44" s="242"/>
      <c r="G44" s="242"/>
      <c r="H44" s="242"/>
      <c r="I44" s="242"/>
      <c r="J44" s="242"/>
      <c r="K44" s="296"/>
    </row>
    <row r="45" spans="1:11" ht="23.25" customHeight="1">
      <c r="A45" s="264" t="s">
        <v>449</v>
      </c>
      <c r="B45" s="280"/>
      <c r="C45" s="280"/>
      <c r="D45" s="280"/>
      <c r="E45" s="280"/>
      <c r="F45" s="280"/>
      <c r="G45" s="280"/>
      <c r="H45" s="280"/>
      <c r="I45" s="280"/>
      <c r="J45" s="280"/>
      <c r="K45" s="302"/>
    </row>
    <row r="46" spans="1:11" ht="23.25" customHeight="1">
      <c r="A46" s="265"/>
      <c r="B46" s="281"/>
      <c r="C46" s="281"/>
      <c r="D46" s="281"/>
      <c r="E46" s="281"/>
      <c r="F46" s="281"/>
      <c r="G46" s="281"/>
      <c r="H46" s="281"/>
      <c r="I46" s="281"/>
      <c r="J46" s="281"/>
      <c r="K46" s="303"/>
    </row>
    <row r="47" spans="1:11" ht="23.25" customHeight="1">
      <c r="A47" s="241"/>
      <c r="B47" s="241"/>
      <c r="C47" s="241"/>
      <c r="D47" s="241"/>
      <c r="E47" s="241"/>
      <c r="F47" s="241"/>
      <c r="G47" s="241"/>
      <c r="H47" s="241"/>
      <c r="I47" s="241"/>
      <c r="J47" s="241"/>
      <c r="K47" s="241"/>
    </row>
    <row r="48" spans="1:11" ht="23.25" customHeight="1">
      <c r="A48" s="266" t="s">
        <v>441</v>
      </c>
      <c r="B48" s="189"/>
      <c r="C48" s="189"/>
      <c r="D48" s="189"/>
      <c r="E48" s="189"/>
      <c r="F48" s="189"/>
      <c r="G48" s="189"/>
      <c r="H48" s="189"/>
      <c r="I48" s="189"/>
      <c r="J48" s="189"/>
      <c r="K48" s="304"/>
    </row>
    <row r="49" spans="1:12" ht="23.25" customHeight="1">
      <c r="A49" s="267" t="s">
        <v>273</v>
      </c>
      <c r="B49" s="282"/>
      <c r="C49" s="282"/>
      <c r="D49" s="282"/>
      <c r="E49" s="282"/>
      <c r="F49" s="287" t="s">
        <v>185</v>
      </c>
      <c r="G49" s="282"/>
      <c r="H49" s="289"/>
      <c r="I49" s="282" t="s">
        <v>400</v>
      </c>
      <c r="J49" s="282"/>
      <c r="K49" s="305"/>
    </row>
    <row r="50" spans="1:12" ht="23.25" customHeight="1">
      <c r="A50" s="258" t="s">
        <v>433</v>
      </c>
      <c r="B50" s="36"/>
      <c r="C50" s="36"/>
      <c r="D50" s="36"/>
      <c r="E50" s="36"/>
      <c r="F50" s="36"/>
      <c r="G50" s="36"/>
      <c r="H50" s="36"/>
      <c r="I50" s="36"/>
      <c r="J50" s="36"/>
      <c r="K50" s="292"/>
    </row>
    <row r="51" spans="1:12" ht="23.25" customHeight="1">
      <c r="A51" s="261" t="s">
        <v>287</v>
      </c>
      <c r="B51" s="279" t="s">
        <v>3</v>
      </c>
      <c r="C51" s="283" t="s">
        <v>101</v>
      </c>
      <c r="D51" s="284"/>
      <c r="E51" s="279" t="s">
        <v>355</v>
      </c>
      <c r="F51" s="279"/>
      <c r="G51" s="242" t="s">
        <v>226</v>
      </c>
      <c r="H51" s="242"/>
      <c r="I51" s="242"/>
      <c r="J51" s="242"/>
      <c r="K51" s="296"/>
      <c r="L51" s="36"/>
    </row>
    <row r="52" spans="1:12" ht="23.25" customHeight="1">
      <c r="A52" s="261"/>
      <c r="B52" s="279"/>
      <c r="C52" s="283"/>
      <c r="D52" s="284"/>
      <c r="E52" s="242"/>
      <c r="F52" s="242"/>
      <c r="G52" s="242"/>
      <c r="H52" s="242"/>
      <c r="I52" s="242"/>
      <c r="J52" s="242"/>
      <c r="K52" s="296"/>
      <c r="L52" s="36"/>
    </row>
    <row r="53" spans="1:12" ht="23.25" customHeight="1">
      <c r="A53" s="261"/>
      <c r="B53" s="279"/>
      <c r="C53" s="283"/>
      <c r="D53" s="284"/>
      <c r="E53" s="242"/>
      <c r="F53" s="242"/>
      <c r="G53" s="242"/>
      <c r="H53" s="242"/>
      <c r="I53" s="242"/>
      <c r="J53" s="242"/>
      <c r="K53" s="296"/>
      <c r="L53" s="36"/>
    </row>
    <row r="54" spans="1:12" ht="23.25" customHeight="1">
      <c r="A54" s="261"/>
      <c r="B54" s="279"/>
      <c r="C54" s="283"/>
      <c r="D54" s="284"/>
      <c r="E54" s="242"/>
      <c r="F54" s="242"/>
      <c r="G54" s="242"/>
      <c r="H54" s="242"/>
      <c r="I54" s="242"/>
      <c r="J54" s="242"/>
      <c r="K54" s="296"/>
      <c r="L54" s="36"/>
    </row>
    <row r="55" spans="1:12" ht="23.25" customHeight="1">
      <c r="A55" s="261"/>
      <c r="B55" s="279"/>
      <c r="C55" s="283"/>
      <c r="D55" s="284"/>
      <c r="E55" s="242"/>
      <c r="F55" s="242"/>
      <c r="G55" s="242"/>
      <c r="H55" s="242"/>
      <c r="I55" s="242"/>
      <c r="J55" s="242"/>
      <c r="K55" s="296"/>
      <c r="L55" s="36"/>
    </row>
    <row r="56" spans="1:12" ht="23.25" customHeight="1">
      <c r="A56" s="261"/>
      <c r="B56" s="279"/>
      <c r="C56" s="283"/>
      <c r="D56" s="284"/>
      <c r="E56" s="242"/>
      <c r="F56" s="242"/>
      <c r="G56" s="242"/>
      <c r="H56" s="242"/>
      <c r="I56" s="242"/>
      <c r="J56" s="242"/>
      <c r="K56" s="296"/>
      <c r="L56" s="36"/>
    </row>
    <row r="57" spans="1:12" ht="23.25" customHeight="1">
      <c r="A57" s="261"/>
      <c r="B57" s="279"/>
      <c r="C57" s="283"/>
      <c r="D57" s="284"/>
      <c r="E57" s="242"/>
      <c r="F57" s="242"/>
      <c r="G57" s="242"/>
      <c r="H57" s="242"/>
      <c r="I57" s="242"/>
      <c r="J57" s="242"/>
      <c r="K57" s="296"/>
      <c r="L57" s="36"/>
    </row>
    <row r="58" spans="1:12" ht="23.25" customHeight="1">
      <c r="A58" s="258" t="s">
        <v>432</v>
      </c>
      <c r="B58" s="36"/>
      <c r="C58" s="36"/>
      <c r="D58" s="36"/>
      <c r="E58" s="36"/>
      <c r="F58" s="36"/>
      <c r="G58" s="36"/>
      <c r="H58" s="36"/>
      <c r="I58" s="36"/>
      <c r="J58" s="36"/>
      <c r="K58" s="292"/>
    </row>
    <row r="59" spans="1:12" ht="23.25" customHeight="1">
      <c r="A59" s="261" t="s">
        <v>435</v>
      </c>
      <c r="B59" s="279" t="s">
        <v>436</v>
      </c>
      <c r="C59" s="283" t="s">
        <v>56</v>
      </c>
      <c r="D59" s="284"/>
      <c r="E59" s="279" t="s">
        <v>438</v>
      </c>
      <c r="F59" s="242" t="s">
        <v>284</v>
      </c>
      <c r="G59" s="242"/>
      <c r="H59" s="242" t="s">
        <v>429</v>
      </c>
      <c r="I59" s="242"/>
      <c r="J59" s="242"/>
      <c r="K59" s="296"/>
      <c r="L59" s="36"/>
    </row>
    <row r="60" spans="1:12" ht="23.25" customHeight="1">
      <c r="A60" s="261"/>
      <c r="B60" s="279"/>
      <c r="C60" s="283"/>
      <c r="D60" s="284"/>
      <c r="E60" s="279"/>
      <c r="F60" s="242"/>
      <c r="G60" s="242"/>
      <c r="H60" s="242"/>
      <c r="I60" s="242"/>
      <c r="J60" s="242"/>
      <c r="K60" s="296"/>
      <c r="L60" s="36"/>
    </row>
    <row r="61" spans="1:12" ht="23.25" customHeight="1">
      <c r="A61" s="261"/>
      <c r="B61" s="279"/>
      <c r="C61" s="283"/>
      <c r="D61" s="284"/>
      <c r="E61" s="279"/>
      <c r="F61" s="242"/>
      <c r="G61" s="242"/>
      <c r="H61" s="242"/>
      <c r="I61" s="242"/>
      <c r="J61" s="242"/>
      <c r="K61" s="296"/>
      <c r="L61" s="36"/>
    </row>
    <row r="62" spans="1:12" ht="23.25" customHeight="1">
      <c r="A62" s="261"/>
      <c r="B62" s="279"/>
      <c r="C62" s="283"/>
      <c r="D62" s="284"/>
      <c r="E62" s="279"/>
      <c r="F62" s="242"/>
      <c r="G62" s="242"/>
      <c r="H62" s="242"/>
      <c r="I62" s="242"/>
      <c r="J62" s="242"/>
      <c r="K62" s="296"/>
      <c r="L62" s="36"/>
    </row>
    <row r="63" spans="1:12" ht="23.25" customHeight="1">
      <c r="A63" s="261"/>
      <c r="B63" s="279"/>
      <c r="C63" s="283"/>
      <c r="D63" s="284"/>
      <c r="E63" s="279"/>
      <c r="F63" s="242"/>
      <c r="G63" s="242"/>
      <c r="H63" s="242"/>
      <c r="I63" s="242"/>
      <c r="J63" s="242"/>
      <c r="K63" s="296"/>
      <c r="L63" s="36"/>
    </row>
    <row r="64" spans="1:12" ht="23.25" customHeight="1">
      <c r="A64" s="261"/>
      <c r="B64" s="279"/>
      <c r="C64" s="283"/>
      <c r="D64" s="284"/>
      <c r="E64" s="279"/>
      <c r="F64" s="242"/>
      <c r="G64" s="242"/>
      <c r="H64" s="242"/>
      <c r="I64" s="242"/>
      <c r="J64" s="242"/>
      <c r="K64" s="296"/>
      <c r="L64" s="36"/>
    </row>
    <row r="65" spans="1:12" ht="23.25" customHeight="1">
      <c r="A65" s="261"/>
      <c r="B65" s="279"/>
      <c r="C65" s="283"/>
      <c r="D65" s="284"/>
      <c r="E65" s="279"/>
      <c r="F65" s="242"/>
      <c r="G65" s="242"/>
      <c r="H65" s="242"/>
      <c r="I65" s="242"/>
      <c r="J65" s="242"/>
      <c r="K65" s="296"/>
      <c r="L65" s="36"/>
    </row>
    <row r="66" spans="1:12" ht="23.25" customHeight="1">
      <c r="A66" s="261"/>
      <c r="B66" s="279"/>
      <c r="C66" s="283"/>
      <c r="D66" s="284"/>
      <c r="E66" s="279"/>
      <c r="F66" s="242"/>
      <c r="G66" s="242"/>
      <c r="H66" s="242"/>
      <c r="I66" s="242"/>
      <c r="J66" s="242"/>
      <c r="K66" s="296"/>
      <c r="L66" s="36"/>
    </row>
    <row r="67" spans="1:12" ht="23.25" customHeight="1">
      <c r="A67" s="261"/>
      <c r="B67" s="279"/>
      <c r="C67" s="283"/>
      <c r="D67" s="284"/>
      <c r="E67" s="279"/>
      <c r="F67" s="242"/>
      <c r="G67" s="242"/>
      <c r="H67" s="242"/>
      <c r="I67" s="242"/>
      <c r="J67" s="242"/>
      <c r="K67" s="296"/>
      <c r="L67" s="36"/>
    </row>
    <row r="68" spans="1:12" ht="23.25" customHeight="1">
      <c r="A68" s="258" t="s">
        <v>148</v>
      </c>
      <c r="B68" s="36"/>
      <c r="C68" s="36"/>
      <c r="D68" s="36"/>
      <c r="E68" s="241"/>
      <c r="F68" s="241"/>
      <c r="G68" s="241"/>
      <c r="H68" s="241"/>
      <c r="I68" s="241"/>
      <c r="J68" s="241"/>
      <c r="K68" s="292"/>
    </row>
    <row r="69" spans="1:12" ht="23.25" customHeight="1">
      <c r="A69" s="261" t="s">
        <v>151</v>
      </c>
      <c r="B69" s="242" t="s">
        <v>227</v>
      </c>
      <c r="C69" s="242"/>
      <c r="D69" s="242" t="s">
        <v>117</v>
      </c>
      <c r="E69" s="242"/>
      <c r="F69" s="242"/>
      <c r="G69" s="242" t="s">
        <v>440</v>
      </c>
      <c r="H69" s="242"/>
      <c r="I69" s="242" t="s">
        <v>199</v>
      </c>
      <c r="J69" s="242"/>
      <c r="K69" s="296"/>
    </row>
    <row r="70" spans="1:12" ht="23.25" customHeight="1">
      <c r="A70" s="245"/>
      <c r="B70" s="242" t="s">
        <v>417</v>
      </c>
      <c r="C70" s="242"/>
      <c r="D70" s="242"/>
      <c r="E70" s="242"/>
      <c r="F70" s="242"/>
      <c r="G70" s="242"/>
      <c r="H70" s="242"/>
      <c r="I70" s="242"/>
      <c r="J70" s="242"/>
      <c r="K70" s="296"/>
    </row>
    <row r="71" spans="1:12" ht="23.25" customHeight="1">
      <c r="A71" s="245"/>
      <c r="B71" s="242" t="s">
        <v>210</v>
      </c>
      <c r="C71" s="242"/>
      <c r="D71" s="242"/>
      <c r="E71" s="242"/>
      <c r="F71" s="242"/>
      <c r="G71" s="242"/>
      <c r="H71" s="242"/>
      <c r="I71" s="242"/>
      <c r="J71" s="242"/>
      <c r="K71" s="296"/>
    </row>
    <row r="72" spans="1:12" ht="23.25" customHeight="1">
      <c r="A72" s="245"/>
      <c r="B72" s="242" t="s">
        <v>265</v>
      </c>
      <c r="C72" s="242"/>
      <c r="D72" s="242"/>
      <c r="E72" s="242"/>
      <c r="F72" s="242"/>
      <c r="G72" s="242"/>
      <c r="H72" s="242"/>
      <c r="I72" s="242"/>
      <c r="J72" s="242"/>
      <c r="K72" s="296"/>
    </row>
    <row r="73" spans="1:12" ht="23.25" customHeight="1">
      <c r="A73" s="245"/>
      <c r="B73" s="242" t="s">
        <v>417</v>
      </c>
      <c r="C73" s="242"/>
      <c r="D73" s="242"/>
      <c r="E73" s="242"/>
      <c r="F73" s="242"/>
      <c r="G73" s="242"/>
      <c r="H73" s="242"/>
      <c r="I73" s="242"/>
      <c r="J73" s="242"/>
      <c r="K73" s="296"/>
    </row>
    <row r="74" spans="1:12" ht="23.25" customHeight="1">
      <c r="A74" s="245"/>
      <c r="B74" s="242" t="s">
        <v>210</v>
      </c>
      <c r="C74" s="242"/>
      <c r="D74" s="242"/>
      <c r="E74" s="242"/>
      <c r="F74" s="242"/>
      <c r="G74" s="242"/>
      <c r="H74" s="242"/>
      <c r="I74" s="242"/>
      <c r="J74" s="242"/>
      <c r="K74" s="296"/>
    </row>
    <row r="75" spans="1:12" ht="23.25" customHeight="1">
      <c r="A75" s="245"/>
      <c r="B75" s="242" t="s">
        <v>265</v>
      </c>
      <c r="C75" s="242"/>
      <c r="D75" s="242"/>
      <c r="E75" s="242"/>
      <c r="F75" s="242"/>
      <c r="G75" s="242"/>
      <c r="H75" s="242"/>
      <c r="I75" s="242"/>
      <c r="J75" s="242"/>
      <c r="K75" s="296"/>
    </row>
    <row r="76" spans="1:12" ht="23.25" customHeight="1">
      <c r="A76" s="245"/>
      <c r="B76" s="242" t="s">
        <v>417</v>
      </c>
      <c r="C76" s="242"/>
      <c r="D76" s="242"/>
      <c r="E76" s="242"/>
      <c r="F76" s="242"/>
      <c r="G76" s="242"/>
      <c r="H76" s="242"/>
      <c r="I76" s="242"/>
      <c r="J76" s="242"/>
      <c r="K76" s="296"/>
    </row>
    <row r="77" spans="1:12" ht="23.25" customHeight="1">
      <c r="A77" s="245"/>
      <c r="B77" s="242" t="s">
        <v>210</v>
      </c>
      <c r="C77" s="242"/>
      <c r="D77" s="242"/>
      <c r="E77" s="242"/>
      <c r="F77" s="242"/>
      <c r="G77" s="242"/>
      <c r="H77" s="242"/>
      <c r="I77" s="242"/>
      <c r="J77" s="242"/>
      <c r="K77" s="296"/>
    </row>
    <row r="78" spans="1:12" ht="23.25" customHeight="1">
      <c r="A78" s="245"/>
      <c r="B78" s="242" t="s">
        <v>265</v>
      </c>
      <c r="C78" s="242"/>
      <c r="D78" s="242"/>
      <c r="E78" s="242"/>
      <c r="F78" s="242"/>
      <c r="G78" s="242"/>
      <c r="H78" s="242"/>
      <c r="I78" s="242"/>
      <c r="J78" s="242"/>
      <c r="K78" s="296"/>
    </row>
    <row r="79" spans="1:12" ht="23.25" customHeight="1">
      <c r="A79" s="268"/>
      <c r="B79" s="242" t="s">
        <v>417</v>
      </c>
      <c r="C79" s="242"/>
      <c r="D79" s="242"/>
      <c r="E79" s="242"/>
      <c r="F79" s="242"/>
      <c r="G79" s="242"/>
      <c r="H79" s="242"/>
      <c r="I79" s="242"/>
      <c r="J79" s="242"/>
      <c r="K79" s="296"/>
    </row>
    <row r="80" spans="1:12" ht="23.25" customHeight="1">
      <c r="A80" s="269"/>
      <c r="B80" s="242" t="s">
        <v>210</v>
      </c>
      <c r="C80" s="242"/>
      <c r="D80" s="242"/>
      <c r="E80" s="242"/>
      <c r="F80" s="242"/>
      <c r="G80" s="242"/>
      <c r="H80" s="242"/>
      <c r="I80" s="242"/>
      <c r="J80" s="242"/>
      <c r="K80" s="296"/>
    </row>
    <row r="81" spans="1:11" ht="23.25" customHeight="1">
      <c r="A81" s="270"/>
      <c r="B81" s="242" t="s">
        <v>265</v>
      </c>
      <c r="C81" s="242"/>
      <c r="D81" s="242"/>
      <c r="E81" s="242"/>
      <c r="F81" s="242"/>
      <c r="G81" s="242"/>
      <c r="H81" s="242"/>
      <c r="I81" s="242"/>
      <c r="J81" s="242"/>
      <c r="K81" s="296"/>
    </row>
    <row r="82" spans="1:11" ht="23.25" customHeight="1">
      <c r="A82" s="245"/>
      <c r="B82" s="242" t="s">
        <v>417</v>
      </c>
      <c r="C82" s="242"/>
      <c r="D82" s="242"/>
      <c r="E82" s="242"/>
      <c r="F82" s="242"/>
      <c r="G82" s="242"/>
      <c r="H82" s="242"/>
      <c r="I82" s="242"/>
      <c r="J82" s="242"/>
      <c r="K82" s="296"/>
    </row>
    <row r="83" spans="1:11" ht="23.25" customHeight="1">
      <c r="A83" s="245"/>
      <c r="B83" s="242" t="s">
        <v>210</v>
      </c>
      <c r="C83" s="242"/>
      <c r="D83" s="242"/>
      <c r="E83" s="242"/>
      <c r="F83" s="242"/>
      <c r="G83" s="242"/>
      <c r="H83" s="242"/>
      <c r="I83" s="242"/>
      <c r="J83" s="242"/>
      <c r="K83" s="296"/>
    </row>
    <row r="84" spans="1:11" ht="23.25" customHeight="1">
      <c r="A84" s="245"/>
      <c r="B84" s="242" t="s">
        <v>265</v>
      </c>
      <c r="C84" s="242"/>
      <c r="D84" s="242"/>
      <c r="E84" s="242"/>
      <c r="F84" s="242"/>
      <c r="G84" s="242"/>
      <c r="H84" s="242"/>
      <c r="I84" s="242"/>
      <c r="J84" s="242"/>
      <c r="K84" s="296"/>
    </row>
    <row r="85" spans="1:11" ht="23.25" customHeight="1">
      <c r="A85" s="271" t="s">
        <v>166</v>
      </c>
      <c r="B85" s="241"/>
      <c r="C85" s="241"/>
      <c r="D85" s="241"/>
      <c r="E85" s="241"/>
      <c r="F85" s="241"/>
      <c r="G85" s="241"/>
      <c r="H85" s="241"/>
      <c r="I85" s="241"/>
      <c r="J85" s="241"/>
      <c r="K85" s="301"/>
    </row>
    <row r="86" spans="1:11" ht="23.25" customHeight="1">
      <c r="A86" s="272"/>
      <c r="B86" s="241"/>
      <c r="C86" s="241"/>
      <c r="D86" s="241"/>
      <c r="E86" s="241"/>
      <c r="F86" s="241"/>
      <c r="G86" s="241"/>
      <c r="H86" s="241"/>
      <c r="I86" s="241"/>
      <c r="J86" s="241"/>
      <c r="K86" s="301"/>
    </row>
    <row r="87" spans="1:11" ht="23.25" customHeight="1">
      <c r="A87" s="265"/>
      <c r="B87" s="281"/>
      <c r="C87" s="281"/>
      <c r="D87" s="281"/>
      <c r="E87" s="281"/>
      <c r="F87" s="281"/>
      <c r="G87" s="281"/>
      <c r="H87" s="281"/>
      <c r="I87" s="281"/>
      <c r="J87" s="281"/>
      <c r="K87" s="303"/>
    </row>
    <row r="88" spans="1:11">
      <c r="E88" s="285" t="s">
        <v>360</v>
      </c>
    </row>
    <row r="89" spans="1:11">
      <c r="A89" s="36" t="s">
        <v>139</v>
      </c>
    </row>
    <row r="90" spans="1:11">
      <c r="A90" s="36" t="s">
        <v>288</v>
      </c>
    </row>
    <row r="91" spans="1:11">
      <c r="A91" s="36"/>
      <c r="B91" t="s">
        <v>294</v>
      </c>
    </row>
    <row r="92" spans="1:11">
      <c r="A92" s="36" t="s">
        <v>289</v>
      </c>
    </row>
    <row r="93" spans="1:11">
      <c r="A93" t="s">
        <v>162</v>
      </c>
      <c r="C93" t="s">
        <v>126</v>
      </c>
      <c r="D93" t="s">
        <v>128</v>
      </c>
    </row>
    <row r="94" spans="1:11">
      <c r="A94" t="s">
        <v>295</v>
      </c>
    </row>
    <row r="95" spans="1:11">
      <c r="A95" s="36" t="s">
        <v>290</v>
      </c>
      <c r="E95" t="s">
        <v>125</v>
      </c>
      <c r="G95" t="s">
        <v>123</v>
      </c>
    </row>
    <row r="96" spans="1:11">
      <c r="A96" t="s">
        <v>291</v>
      </c>
      <c r="C96" t="s">
        <v>117</v>
      </c>
    </row>
    <row r="97" spans="1:7">
      <c r="A97" t="s">
        <v>292</v>
      </c>
      <c r="C97" t="s">
        <v>119</v>
      </c>
      <c r="D97" t="s">
        <v>135</v>
      </c>
    </row>
    <row r="98" spans="1:7">
      <c r="A98" t="s">
        <v>293</v>
      </c>
      <c r="C98" t="s">
        <v>122</v>
      </c>
      <c r="D98" t="s">
        <v>138</v>
      </c>
      <c r="G98" t="s">
        <v>133</v>
      </c>
    </row>
    <row r="101" spans="1:7">
      <c r="A101" t="s">
        <v>130</v>
      </c>
      <c r="C101" t="s">
        <v>126</v>
      </c>
    </row>
    <row r="109" spans="1:7">
      <c r="A109" s="36" t="s">
        <v>343</v>
      </c>
    </row>
    <row r="110" spans="1:7">
      <c r="A110" t="s">
        <v>344</v>
      </c>
    </row>
    <row r="111" spans="1:7">
      <c r="A111" t="s">
        <v>345</v>
      </c>
    </row>
    <row r="112" spans="1:7">
      <c r="A112" t="s">
        <v>346</v>
      </c>
    </row>
    <row r="113" spans="1:1">
      <c r="A113" t="s">
        <v>8</v>
      </c>
    </row>
    <row r="114" spans="1:1">
      <c r="A114" t="s">
        <v>137</v>
      </c>
    </row>
    <row r="116" spans="1:1">
      <c r="A116" s="36" t="s">
        <v>347</v>
      </c>
    </row>
    <row r="117" spans="1:1">
      <c r="A117" t="s">
        <v>349</v>
      </c>
    </row>
    <row r="118" spans="1:1">
      <c r="A118" t="s">
        <v>348</v>
      </c>
    </row>
    <row r="119" spans="1:1">
      <c r="A119" t="s">
        <v>156</v>
      </c>
    </row>
  </sheetData>
  <mergeCells count="171">
    <mergeCell ref="A2:K2"/>
    <mergeCell ref="A3:K3"/>
    <mergeCell ref="A4:E4"/>
    <mergeCell ref="F4:H4"/>
    <mergeCell ref="I4:K4"/>
    <mergeCell ref="A12:K12"/>
    <mergeCell ref="A13:E13"/>
    <mergeCell ref="F13:H13"/>
    <mergeCell ref="I13:K13"/>
    <mergeCell ref="E15:K15"/>
    <mergeCell ref="E16:K16"/>
    <mergeCell ref="E17:K17"/>
    <mergeCell ref="E18:K18"/>
    <mergeCell ref="E19:K19"/>
    <mergeCell ref="E20:K20"/>
    <mergeCell ref="E21:K21"/>
    <mergeCell ref="E22:K22"/>
    <mergeCell ref="E23:K23"/>
    <mergeCell ref="C30:D30"/>
    <mergeCell ref="H30:K30"/>
    <mergeCell ref="C31:D31"/>
    <mergeCell ref="H31:K31"/>
    <mergeCell ref="C32:D32"/>
    <mergeCell ref="H32:K32"/>
    <mergeCell ref="C33:D33"/>
    <mergeCell ref="H33:K33"/>
    <mergeCell ref="C34:D34"/>
    <mergeCell ref="H34:K34"/>
    <mergeCell ref="C35:D35"/>
    <mergeCell ref="H35:K35"/>
    <mergeCell ref="C36:D36"/>
    <mergeCell ref="H36:K36"/>
    <mergeCell ref="B38:E38"/>
    <mergeCell ref="F38:H38"/>
    <mergeCell ref="I38:K38"/>
    <mergeCell ref="B39:E39"/>
    <mergeCell ref="F39:H39"/>
    <mergeCell ref="I39:K39"/>
    <mergeCell ref="B40:E40"/>
    <mergeCell ref="F40:H40"/>
    <mergeCell ref="I40:K40"/>
    <mergeCell ref="B42:E42"/>
    <mergeCell ref="F42:H42"/>
    <mergeCell ref="I42:K42"/>
    <mergeCell ref="B43:E43"/>
    <mergeCell ref="F43:H43"/>
    <mergeCell ref="I43:K43"/>
    <mergeCell ref="B44:E44"/>
    <mergeCell ref="F44:H44"/>
    <mergeCell ref="I44:K44"/>
    <mergeCell ref="A46:K46"/>
    <mergeCell ref="A48:K48"/>
    <mergeCell ref="A49:E49"/>
    <mergeCell ref="F49:H49"/>
    <mergeCell ref="I49:K49"/>
    <mergeCell ref="C51:D51"/>
    <mergeCell ref="G51:K51"/>
    <mergeCell ref="C52:D52"/>
    <mergeCell ref="E52:F52"/>
    <mergeCell ref="G52:K52"/>
    <mergeCell ref="C53:D53"/>
    <mergeCell ref="E53:F53"/>
    <mergeCell ref="G53:K53"/>
    <mergeCell ref="C54:D54"/>
    <mergeCell ref="E54:F54"/>
    <mergeCell ref="G54:K54"/>
    <mergeCell ref="C55:D55"/>
    <mergeCell ref="E55:F55"/>
    <mergeCell ref="G55:K55"/>
    <mergeCell ref="C56:D56"/>
    <mergeCell ref="E56:F56"/>
    <mergeCell ref="G56:K56"/>
    <mergeCell ref="C57:D57"/>
    <mergeCell ref="E57:F57"/>
    <mergeCell ref="G57:K57"/>
    <mergeCell ref="C59:D59"/>
    <mergeCell ref="F59:G59"/>
    <mergeCell ref="H59:K59"/>
    <mergeCell ref="C60:D60"/>
    <mergeCell ref="F60:G60"/>
    <mergeCell ref="H60:K60"/>
    <mergeCell ref="C61:D61"/>
    <mergeCell ref="F61:G61"/>
    <mergeCell ref="H61:K61"/>
    <mergeCell ref="C62:D62"/>
    <mergeCell ref="F62:G62"/>
    <mergeCell ref="H62:K62"/>
    <mergeCell ref="C63:D63"/>
    <mergeCell ref="F63:G63"/>
    <mergeCell ref="H63:K63"/>
    <mergeCell ref="C64:D64"/>
    <mergeCell ref="F64:G64"/>
    <mergeCell ref="H64:K64"/>
    <mergeCell ref="C65:D65"/>
    <mergeCell ref="F65:G65"/>
    <mergeCell ref="H65:K65"/>
    <mergeCell ref="C66:D66"/>
    <mergeCell ref="F66:G66"/>
    <mergeCell ref="H66:K66"/>
    <mergeCell ref="C67:D67"/>
    <mergeCell ref="F67:G67"/>
    <mergeCell ref="H67:K67"/>
    <mergeCell ref="B69:C69"/>
    <mergeCell ref="D69:F69"/>
    <mergeCell ref="G69:H69"/>
    <mergeCell ref="I69:K69"/>
    <mergeCell ref="B70:C70"/>
    <mergeCell ref="D70:F70"/>
    <mergeCell ref="G70:H70"/>
    <mergeCell ref="I70:K70"/>
    <mergeCell ref="B71:C71"/>
    <mergeCell ref="D71:F71"/>
    <mergeCell ref="G71:H71"/>
    <mergeCell ref="I71:K71"/>
    <mergeCell ref="B72:C72"/>
    <mergeCell ref="D72:F72"/>
    <mergeCell ref="G72:H72"/>
    <mergeCell ref="I72:K72"/>
    <mergeCell ref="B73:C73"/>
    <mergeCell ref="D73:F73"/>
    <mergeCell ref="G73:H73"/>
    <mergeCell ref="I73:K73"/>
    <mergeCell ref="B74:C74"/>
    <mergeCell ref="D74:F74"/>
    <mergeCell ref="G74:H74"/>
    <mergeCell ref="I74:K74"/>
    <mergeCell ref="B75:C75"/>
    <mergeCell ref="D75:F75"/>
    <mergeCell ref="G75:H75"/>
    <mergeCell ref="I75:K75"/>
    <mergeCell ref="B76:C76"/>
    <mergeCell ref="D76:F76"/>
    <mergeCell ref="G76:H76"/>
    <mergeCell ref="I76:K76"/>
    <mergeCell ref="B77:C77"/>
    <mergeCell ref="D77:F77"/>
    <mergeCell ref="G77:H77"/>
    <mergeCell ref="I77:K77"/>
    <mergeCell ref="B78:C78"/>
    <mergeCell ref="D78:F78"/>
    <mergeCell ref="G78:H78"/>
    <mergeCell ref="I78:K78"/>
    <mergeCell ref="B79:C79"/>
    <mergeCell ref="D79:F79"/>
    <mergeCell ref="G79:H79"/>
    <mergeCell ref="I79:K79"/>
    <mergeCell ref="B80:C80"/>
    <mergeCell ref="D80:F80"/>
    <mergeCell ref="G80:H80"/>
    <mergeCell ref="I80:K80"/>
    <mergeCell ref="B81:C81"/>
    <mergeCell ref="D81:F81"/>
    <mergeCell ref="G81:H81"/>
    <mergeCell ref="I81:K81"/>
    <mergeCell ref="B82:C82"/>
    <mergeCell ref="D82:F82"/>
    <mergeCell ref="G82:H82"/>
    <mergeCell ref="I82:K82"/>
    <mergeCell ref="B83:C83"/>
    <mergeCell ref="D83:F83"/>
    <mergeCell ref="G83:H83"/>
    <mergeCell ref="I83:K83"/>
    <mergeCell ref="B84:C84"/>
    <mergeCell ref="D84:F84"/>
    <mergeCell ref="G84:H84"/>
    <mergeCell ref="I84:K84"/>
    <mergeCell ref="A70:A72"/>
    <mergeCell ref="A73:A75"/>
    <mergeCell ref="A76:A78"/>
    <mergeCell ref="A79:A81"/>
    <mergeCell ref="A82:A84"/>
  </mergeCells>
  <phoneticPr fontId="1"/>
  <pageMargins left="0.70866141732283472" right="0.70866141732283472" top="0.74803149606299213" bottom="0.74803149606299213" header="0.31496062992125984" footer="0.31496062992125984"/>
  <pageSetup paperSize="9" scale="87" fitToWidth="1" fitToHeight="0" orientation="portrait" usePrinterDefaults="1" r:id="rId1"/>
  <rowBreaks count="2" manualBreakCount="2">
    <brk id="11" max="16383" man="1"/>
    <brk id="47"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I45"/>
  <sheetViews>
    <sheetView showGridLines="0" view="pageBreakPreview" zoomScale="115" zoomScaleSheetLayoutView="115" workbookViewId="0">
      <selection activeCell="C11" sqref="C11"/>
    </sheetView>
  </sheetViews>
  <sheetFormatPr defaultRowHeight="13.5"/>
  <cols>
    <col min="1" max="1" width="24.5" customWidth="1"/>
    <col min="2" max="2" width="21.75" customWidth="1"/>
    <col min="3" max="3" width="25.25" customWidth="1"/>
    <col min="4" max="4" width="18.375" customWidth="1"/>
    <col min="5" max="5" width="15.625" customWidth="1"/>
  </cols>
  <sheetData>
    <row r="1" spans="1:6" ht="14.25">
      <c r="A1" s="35" t="s">
        <v>195</v>
      </c>
    </row>
    <row r="2" spans="1:6" s="307" customFormat="1" ht="26.25" customHeight="1">
      <c r="A2" s="35" t="s">
        <v>560</v>
      </c>
    </row>
    <row r="3" spans="1:6" ht="26.25" customHeight="1">
      <c r="A3" s="308" t="s">
        <v>140</v>
      </c>
      <c r="B3" s="104" t="s">
        <v>501</v>
      </c>
      <c r="C3" s="104" t="s">
        <v>182</v>
      </c>
      <c r="D3" s="104" t="s">
        <v>199</v>
      </c>
      <c r="E3" s="104"/>
    </row>
    <row r="4" spans="1:6" ht="26.25" customHeight="1">
      <c r="A4" s="32" t="s">
        <v>141</v>
      </c>
      <c r="B4" s="68"/>
      <c r="C4" s="68"/>
      <c r="D4" s="34"/>
      <c r="E4" s="34"/>
    </row>
    <row r="5" spans="1:6" ht="26.25" customHeight="1">
      <c r="A5" s="32" t="s">
        <v>147</v>
      </c>
      <c r="B5" s="68"/>
      <c r="C5" s="68"/>
      <c r="D5" s="34"/>
      <c r="E5" s="34"/>
    </row>
    <row r="6" spans="1:6" ht="26.25" customHeight="1">
      <c r="A6" s="32" t="s">
        <v>149</v>
      </c>
      <c r="B6" s="68"/>
      <c r="C6" s="68"/>
      <c r="D6" s="34"/>
      <c r="E6" s="34"/>
    </row>
    <row r="7" spans="1:6" ht="26.25" customHeight="1">
      <c r="A7" s="308" t="s">
        <v>153</v>
      </c>
      <c r="B7" s="104" t="s">
        <v>443</v>
      </c>
      <c r="C7" s="104" t="s">
        <v>481</v>
      </c>
      <c r="D7" s="104" t="s">
        <v>199</v>
      </c>
      <c r="E7" s="104"/>
    </row>
    <row r="8" spans="1:6" ht="26.25" customHeight="1">
      <c r="A8" s="32" t="s">
        <v>539</v>
      </c>
      <c r="B8" s="68"/>
      <c r="C8" s="68"/>
      <c r="D8" s="34"/>
      <c r="E8" s="34"/>
    </row>
    <row r="9" spans="1:6" ht="26.25" customHeight="1">
      <c r="A9" s="32" t="s">
        <v>540</v>
      </c>
      <c r="B9" s="68"/>
      <c r="C9" s="68"/>
      <c r="D9" s="34"/>
      <c r="E9" s="34"/>
    </row>
    <row r="10" spans="1:6" ht="26.25" customHeight="1">
      <c r="A10" s="32"/>
      <c r="B10" s="68"/>
      <c r="C10" s="68"/>
      <c r="D10" s="34"/>
      <c r="E10" s="34"/>
    </row>
    <row r="11" spans="1:6" ht="26.25" customHeight="1">
      <c r="A11" s="32" t="s">
        <v>445</v>
      </c>
      <c r="B11" s="68"/>
      <c r="C11" s="68"/>
      <c r="D11" s="34"/>
      <c r="E11" s="34"/>
    </row>
    <row r="12" spans="1:6" ht="26.25" customHeight="1">
      <c r="A12" s="308" t="s">
        <v>99</v>
      </c>
      <c r="B12" s="104" t="s">
        <v>442</v>
      </c>
      <c r="C12" s="104" t="s">
        <v>334</v>
      </c>
      <c r="D12" s="104" t="s">
        <v>199</v>
      </c>
      <c r="E12" s="104"/>
    </row>
    <row r="13" spans="1:6" ht="26.25" customHeight="1">
      <c r="A13" s="32" t="s">
        <v>155</v>
      </c>
      <c r="B13" s="68"/>
      <c r="C13" s="68"/>
      <c r="D13" s="34"/>
      <c r="E13" s="34"/>
      <c r="F13" t="s">
        <v>500</v>
      </c>
    </row>
    <row r="14" spans="1:6" ht="26.25" customHeight="1">
      <c r="A14" s="32" t="s">
        <v>157</v>
      </c>
      <c r="B14" s="68"/>
      <c r="C14" s="68"/>
      <c r="D14" s="34"/>
      <c r="E14" s="34"/>
    </row>
    <row r="15" spans="1:6" ht="26.25" customHeight="1">
      <c r="A15" s="32" t="s">
        <v>532</v>
      </c>
      <c r="B15" s="68"/>
      <c r="C15" s="68"/>
      <c r="D15" s="34"/>
      <c r="E15" s="34"/>
    </row>
    <row r="16" spans="1:6" ht="26.25" customHeight="1">
      <c r="A16" s="32" t="s">
        <v>127</v>
      </c>
      <c r="B16" s="68"/>
      <c r="C16" s="68"/>
      <c r="D16" s="34"/>
      <c r="E16" s="34"/>
    </row>
    <row r="17" spans="1:9" ht="26.25" customHeight="1">
      <c r="A17" s="309" t="s">
        <v>158</v>
      </c>
      <c r="B17" s="104" t="s">
        <v>262</v>
      </c>
      <c r="C17" s="104" t="s">
        <v>411</v>
      </c>
      <c r="D17" s="104" t="s">
        <v>199</v>
      </c>
      <c r="E17" s="104"/>
      <c r="F17" s="310" t="s">
        <v>311</v>
      </c>
      <c r="G17" s="310"/>
      <c r="H17" s="310"/>
      <c r="I17" s="310"/>
    </row>
    <row r="18" spans="1:9" ht="26.25" customHeight="1">
      <c r="A18" s="229" t="s">
        <v>160</v>
      </c>
      <c r="B18" s="68"/>
      <c r="C18" s="68"/>
      <c r="D18" s="34"/>
      <c r="E18" s="34"/>
      <c r="F18" s="310" t="s">
        <v>499</v>
      </c>
      <c r="G18" s="310"/>
      <c r="H18" s="310"/>
      <c r="I18" s="310"/>
    </row>
    <row r="19" spans="1:9" ht="26.25" customHeight="1">
      <c r="A19" s="229" t="s">
        <v>165</v>
      </c>
      <c r="B19" s="68"/>
      <c r="C19" s="68"/>
      <c r="D19" s="34"/>
      <c r="E19" s="34"/>
      <c r="F19" s="310"/>
      <c r="G19" s="310"/>
      <c r="H19" s="310"/>
      <c r="I19" s="310"/>
    </row>
    <row r="20" spans="1:9" ht="26.25" customHeight="1">
      <c r="A20" s="308" t="s">
        <v>167</v>
      </c>
      <c r="B20" s="104" t="s">
        <v>233</v>
      </c>
      <c r="C20" s="104" t="s">
        <v>498</v>
      </c>
      <c r="D20" s="104" t="s">
        <v>199</v>
      </c>
      <c r="E20" s="104"/>
      <c r="F20" s="310"/>
      <c r="G20" s="310"/>
      <c r="H20" s="310"/>
      <c r="I20" s="310"/>
    </row>
    <row r="21" spans="1:9" ht="26.25" customHeight="1">
      <c r="A21" s="229" t="s">
        <v>446</v>
      </c>
      <c r="B21" s="68"/>
      <c r="C21" s="68"/>
      <c r="D21" s="34"/>
      <c r="E21" s="34"/>
      <c r="F21" s="310"/>
      <c r="G21" s="310"/>
      <c r="H21" s="310"/>
      <c r="I21" s="310"/>
    </row>
    <row r="22" spans="1:9" ht="26.25" customHeight="1">
      <c r="A22" s="229"/>
      <c r="B22" s="68"/>
      <c r="C22" s="68"/>
      <c r="D22" s="34"/>
      <c r="E22" s="34"/>
      <c r="F22" s="310"/>
      <c r="G22" s="310"/>
      <c r="H22" s="310"/>
      <c r="I22" s="310"/>
    </row>
    <row r="23" spans="1:9" ht="26.25" customHeight="1">
      <c r="A23" s="1"/>
      <c r="B23" s="4"/>
      <c r="C23" s="4"/>
      <c r="D23" s="1"/>
      <c r="E23" s="1"/>
      <c r="F23" s="310"/>
      <c r="G23" s="310"/>
      <c r="H23" s="310"/>
      <c r="I23" s="310"/>
    </row>
    <row r="24" spans="1:9" ht="26.25" customHeight="1">
      <c r="A24" s="35" t="s">
        <v>351</v>
      </c>
      <c r="B24" s="4"/>
      <c r="C24" s="4"/>
      <c r="D24" s="1"/>
      <c r="E24" s="1"/>
      <c r="F24" s="310"/>
      <c r="G24" s="310"/>
      <c r="H24" s="310"/>
      <c r="I24" s="310"/>
    </row>
    <row r="25" spans="1:9" ht="26.25" customHeight="1">
      <c r="A25" s="308" t="s">
        <v>169</v>
      </c>
      <c r="B25" s="104" t="s">
        <v>443</v>
      </c>
      <c r="C25" s="104" t="s">
        <v>182</v>
      </c>
      <c r="D25" s="104" t="s">
        <v>199</v>
      </c>
      <c r="E25" s="104"/>
      <c r="F25" s="310"/>
      <c r="G25" s="310"/>
      <c r="H25" s="310"/>
      <c r="I25" s="310"/>
    </row>
    <row r="26" spans="1:9" ht="26.25" customHeight="1">
      <c r="A26" s="279" t="s">
        <v>140</v>
      </c>
      <c r="B26" s="68"/>
      <c r="C26" s="68"/>
      <c r="D26" s="34"/>
      <c r="E26" s="34"/>
      <c r="F26" s="310" t="s">
        <v>187</v>
      </c>
      <c r="G26" s="310"/>
      <c r="H26" s="310"/>
      <c r="I26" s="310"/>
    </row>
    <row r="27" spans="1:9" ht="24.75" customHeight="1">
      <c r="A27" s="279" t="s">
        <v>170</v>
      </c>
      <c r="B27" s="68"/>
      <c r="C27" s="68"/>
      <c r="D27" s="34"/>
      <c r="E27" s="34"/>
      <c r="F27" s="310"/>
      <c r="G27" s="310"/>
      <c r="H27" s="310"/>
      <c r="I27" s="310"/>
    </row>
    <row r="28" spans="1:9" ht="24.75" customHeight="1">
      <c r="A28" s="229" t="s">
        <v>539</v>
      </c>
      <c r="B28" s="68"/>
      <c r="C28" s="68"/>
      <c r="D28" s="34"/>
      <c r="E28" s="34"/>
      <c r="F28" s="310"/>
      <c r="G28" s="310"/>
      <c r="H28" s="310"/>
      <c r="I28" s="310"/>
    </row>
    <row r="29" spans="1:9" ht="24.75" customHeight="1">
      <c r="A29" s="229"/>
      <c r="B29" s="68"/>
      <c r="C29" s="68"/>
      <c r="D29" s="34"/>
      <c r="E29" s="34"/>
      <c r="F29" s="310"/>
      <c r="G29" s="310"/>
      <c r="H29" s="310"/>
      <c r="I29" s="310"/>
    </row>
    <row r="30" spans="1:9" ht="24.75" customHeight="1">
      <c r="A30" s="32" t="s">
        <v>171</v>
      </c>
      <c r="B30" s="68"/>
      <c r="C30" s="68"/>
      <c r="D30" s="34"/>
      <c r="E30" s="34"/>
      <c r="F30" t="s">
        <v>487</v>
      </c>
    </row>
    <row r="31" spans="1:9" ht="28.5" customHeight="1">
      <c r="A31" s="228" t="s">
        <v>235</v>
      </c>
      <c r="B31" s="68"/>
      <c r="C31" s="68"/>
      <c r="D31" s="34"/>
      <c r="E31" s="34"/>
      <c r="F31" t="s">
        <v>448</v>
      </c>
      <c r="H31" s="311"/>
    </row>
    <row r="32" spans="1:9" ht="24.75" customHeight="1">
      <c r="A32" s="32" t="s">
        <v>9</v>
      </c>
      <c r="B32" s="68"/>
      <c r="C32" s="68"/>
      <c r="D32" s="34"/>
      <c r="E32" s="34"/>
      <c r="F32" t="s">
        <v>561</v>
      </c>
    </row>
    <row r="33" spans="1:6" ht="24.75" customHeight="1">
      <c r="A33" s="276"/>
      <c r="B33" s="147"/>
      <c r="C33" s="147"/>
      <c r="D33" s="276"/>
      <c r="F33" t="s">
        <v>562</v>
      </c>
    </row>
    <row r="34" spans="1:6" ht="24.75" customHeight="1">
      <c r="A34" s="309" t="s">
        <v>164</v>
      </c>
      <c r="B34" s="104" t="s">
        <v>447</v>
      </c>
      <c r="C34" s="104" t="s">
        <v>79</v>
      </c>
      <c r="D34" s="104" t="s">
        <v>246</v>
      </c>
      <c r="E34" s="104" t="s">
        <v>429</v>
      </c>
    </row>
    <row r="35" spans="1:6" ht="24.75" customHeight="1">
      <c r="A35" s="32" t="s">
        <v>154</v>
      </c>
      <c r="B35" s="32"/>
      <c r="C35" s="32"/>
      <c r="D35" s="32"/>
      <c r="E35" s="32"/>
    </row>
    <row r="36" spans="1:6" ht="24.75" customHeight="1">
      <c r="A36" s="32" t="s">
        <v>11</v>
      </c>
      <c r="B36" s="32"/>
      <c r="C36" s="32"/>
      <c r="D36" s="32"/>
      <c r="E36" s="32"/>
    </row>
    <row r="37" spans="1:6" ht="24.75" customHeight="1">
      <c r="A37" s="32" t="s">
        <v>377</v>
      </c>
      <c r="B37" s="32"/>
      <c r="C37" s="32"/>
      <c r="D37" s="32"/>
      <c r="E37" s="32"/>
    </row>
    <row r="38" spans="1:6" ht="24.75" customHeight="1">
      <c r="A38" s="32"/>
      <c r="B38" s="32"/>
      <c r="C38" s="32"/>
      <c r="D38" s="32"/>
      <c r="E38" s="32"/>
    </row>
    <row r="40" spans="1:6">
      <c r="A40" t="s">
        <v>296</v>
      </c>
      <c r="C40" t="s">
        <v>298</v>
      </c>
    </row>
    <row r="41" spans="1:6">
      <c r="C41" t="s">
        <v>301</v>
      </c>
    </row>
    <row r="42" spans="1:6">
      <c r="C42" t="s">
        <v>303</v>
      </c>
    </row>
    <row r="43" spans="1:6">
      <c r="C43" t="s">
        <v>304</v>
      </c>
    </row>
    <row r="44" spans="1:6">
      <c r="A44" t="s">
        <v>561</v>
      </c>
    </row>
    <row r="45" spans="1:6">
      <c r="A45" t="s">
        <v>562</v>
      </c>
    </row>
  </sheetData>
  <mergeCells count="28">
    <mergeCell ref="D3:E3"/>
    <mergeCell ref="D4:E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5:E25"/>
    <mergeCell ref="D26:E26"/>
    <mergeCell ref="D27:E27"/>
    <mergeCell ref="D28:E28"/>
    <mergeCell ref="D29:E29"/>
    <mergeCell ref="D30:E30"/>
    <mergeCell ref="D31:E31"/>
    <mergeCell ref="D32:E32"/>
  </mergeCells>
  <phoneticPr fontId="1"/>
  <pageMargins left="0.7" right="0.7" top="0.75" bottom="0.75" header="0.3" footer="0.3"/>
  <pageSetup paperSize="9" scale="83"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I48"/>
  <sheetViews>
    <sheetView showGridLines="0" view="pageBreakPreview" zoomScale="60" workbookViewId="0">
      <selection activeCell="J16" sqref="J16"/>
    </sheetView>
  </sheetViews>
  <sheetFormatPr defaultRowHeight="13.5"/>
  <cols>
    <col min="2" max="2" width="15" customWidth="1"/>
    <col min="4" max="6" width="10.75" customWidth="1"/>
    <col min="7" max="7" width="9.375" customWidth="1"/>
    <col min="8" max="8" width="31.625" customWidth="1"/>
  </cols>
  <sheetData>
    <row r="1" spans="1:9">
      <c r="A1" s="36" t="s">
        <v>173</v>
      </c>
    </row>
    <row r="2" spans="1:9" ht="23.25" customHeight="1">
      <c r="A2" s="36" t="s">
        <v>103</v>
      </c>
      <c r="D2" t="s">
        <v>302</v>
      </c>
      <c r="F2" t="s">
        <v>454</v>
      </c>
    </row>
    <row r="3" spans="1:9" ht="23.25" customHeight="1">
      <c r="A3" s="43" t="s">
        <v>328</v>
      </c>
      <c r="B3" s="43"/>
      <c r="C3" s="43" t="s">
        <v>452</v>
      </c>
      <c r="D3" s="43"/>
      <c r="E3" s="43"/>
      <c r="F3" s="43" t="s">
        <v>21</v>
      </c>
      <c r="G3" s="43" t="s">
        <v>451</v>
      </c>
      <c r="H3" s="43" t="s">
        <v>453</v>
      </c>
      <c r="I3" s="43" t="s">
        <v>361</v>
      </c>
    </row>
    <row r="4" spans="1:9" ht="23.25" customHeight="1">
      <c r="A4" s="34"/>
      <c r="B4" s="34"/>
      <c r="C4" s="34"/>
      <c r="D4" s="34"/>
      <c r="E4" s="34"/>
      <c r="F4" s="34"/>
      <c r="G4" s="34"/>
      <c r="H4" s="312"/>
      <c r="I4" s="34"/>
    </row>
    <row r="5" spans="1:9" ht="23.25" customHeight="1">
      <c r="A5" s="34"/>
      <c r="B5" s="34"/>
      <c r="C5" s="34"/>
      <c r="D5" s="34"/>
      <c r="E5" s="34"/>
      <c r="F5" s="34"/>
      <c r="G5" s="34"/>
      <c r="H5" s="312"/>
      <c r="I5" s="34"/>
    </row>
    <row r="6" spans="1:9" ht="23.25" customHeight="1">
      <c r="A6" s="34"/>
      <c r="B6" s="34"/>
      <c r="C6" s="34"/>
      <c r="D6" s="34"/>
      <c r="E6" s="34"/>
      <c r="F6" s="34"/>
      <c r="G6" s="34"/>
      <c r="H6" s="312"/>
      <c r="I6" s="34"/>
    </row>
    <row r="7" spans="1:9" ht="23.25" customHeight="1">
      <c r="A7" s="34"/>
      <c r="B7" s="34"/>
      <c r="C7" s="34"/>
      <c r="D7" s="34"/>
      <c r="E7" s="34"/>
      <c r="F7" s="34"/>
      <c r="G7" s="34"/>
      <c r="H7" s="312"/>
      <c r="I7" s="34"/>
    </row>
    <row r="8" spans="1:9" ht="23.25" customHeight="1">
      <c r="A8" s="34"/>
      <c r="B8" s="34"/>
      <c r="C8" s="34"/>
      <c r="D8" s="34"/>
      <c r="E8" s="34"/>
      <c r="F8" s="34"/>
      <c r="G8" s="34"/>
      <c r="H8" s="312"/>
      <c r="I8" s="34"/>
    </row>
    <row r="9" spans="1:9" ht="23.25" customHeight="1">
      <c r="A9" s="34"/>
      <c r="B9" s="34"/>
      <c r="C9" s="34"/>
      <c r="D9" s="34"/>
      <c r="E9" s="34"/>
      <c r="F9" s="34"/>
      <c r="G9" s="34"/>
      <c r="H9" s="312"/>
      <c r="I9" s="34"/>
    </row>
    <row r="10" spans="1:9" ht="23.25" customHeight="1">
      <c r="A10" s="34"/>
      <c r="B10" s="34"/>
      <c r="C10" s="34"/>
      <c r="D10" s="34"/>
      <c r="E10" s="34"/>
      <c r="F10" s="34"/>
      <c r="G10" s="34"/>
      <c r="H10" s="312"/>
      <c r="I10" s="34"/>
    </row>
    <row r="11" spans="1:9" ht="23.25" customHeight="1">
      <c r="A11" s="34"/>
      <c r="B11" s="34"/>
      <c r="C11" s="34"/>
      <c r="D11" s="34"/>
      <c r="E11" s="34"/>
      <c r="F11" s="34"/>
      <c r="G11" s="34"/>
      <c r="H11" s="312"/>
      <c r="I11" s="34"/>
    </row>
    <row r="12" spans="1:9" ht="23.25" customHeight="1">
      <c r="A12" s="34"/>
      <c r="B12" s="34"/>
      <c r="C12" s="34"/>
      <c r="D12" s="34"/>
      <c r="E12" s="34"/>
      <c r="F12" s="34"/>
      <c r="G12" s="34"/>
      <c r="H12" s="312"/>
      <c r="I12" s="34"/>
    </row>
    <row r="13" spans="1:9" ht="23.25" customHeight="1">
      <c r="A13" s="34"/>
      <c r="B13" s="34"/>
      <c r="C13" s="34"/>
      <c r="D13" s="34"/>
      <c r="E13" s="34"/>
      <c r="F13" s="34"/>
      <c r="G13" s="34"/>
      <c r="H13" s="312"/>
      <c r="I13" s="34"/>
    </row>
    <row r="14" spans="1:9" ht="23.25" customHeight="1">
      <c r="A14" s="34"/>
      <c r="B14" s="34"/>
      <c r="C14" s="34"/>
      <c r="D14" s="34"/>
      <c r="E14" s="34"/>
      <c r="F14" s="34"/>
      <c r="G14" s="34"/>
      <c r="H14" s="312"/>
      <c r="I14" s="34"/>
    </row>
    <row r="15" spans="1:9" ht="23.25" customHeight="1">
      <c r="A15" s="34"/>
      <c r="B15" s="34"/>
      <c r="C15" s="34"/>
      <c r="D15" s="34"/>
      <c r="E15" s="34"/>
      <c r="F15" s="34"/>
      <c r="G15" s="34"/>
      <c r="H15" s="312"/>
      <c r="I15" s="34"/>
    </row>
    <row r="16" spans="1:9" ht="23.25" customHeight="1">
      <c r="A16" s="34"/>
      <c r="B16" s="34"/>
      <c r="C16" s="34"/>
      <c r="D16" s="34"/>
      <c r="E16" s="34"/>
      <c r="F16" s="34"/>
      <c r="G16" s="34"/>
      <c r="H16" s="312"/>
      <c r="I16" s="34"/>
    </row>
    <row r="17" spans="1:9" ht="23.25" customHeight="1">
      <c r="A17" s="34"/>
      <c r="B17" s="34"/>
      <c r="C17" s="312"/>
      <c r="D17" s="315"/>
      <c r="E17" s="314"/>
      <c r="F17" s="34"/>
      <c r="G17" s="34"/>
      <c r="H17" s="312"/>
      <c r="I17" s="34"/>
    </row>
    <row r="18" spans="1:9" ht="23.25" customHeight="1">
      <c r="A18" s="34"/>
      <c r="B18" s="34"/>
      <c r="C18" s="312"/>
      <c r="D18" s="315"/>
      <c r="E18" s="314"/>
      <c r="F18" s="34"/>
      <c r="G18" s="34"/>
      <c r="H18" s="312"/>
      <c r="I18" s="34"/>
    </row>
    <row r="19" spans="1:9" ht="23.25" customHeight="1">
      <c r="A19" s="312"/>
      <c r="B19" s="314"/>
      <c r="C19" s="312"/>
      <c r="D19" s="315"/>
      <c r="E19" s="314"/>
      <c r="F19" s="34"/>
      <c r="G19" s="34"/>
      <c r="H19" s="312"/>
      <c r="I19" s="34"/>
    </row>
    <row r="20" spans="1:9" ht="23.25" customHeight="1">
      <c r="A20" s="312"/>
      <c r="B20" s="314"/>
      <c r="C20" s="312"/>
      <c r="D20" s="315"/>
      <c r="E20" s="314"/>
      <c r="F20" s="34"/>
      <c r="G20" s="34"/>
      <c r="H20" s="312"/>
      <c r="I20" s="34"/>
    </row>
    <row r="21" spans="1:9" ht="23.25" customHeight="1">
      <c r="A21" s="312"/>
      <c r="B21" s="314"/>
      <c r="C21" s="312"/>
      <c r="D21" s="315"/>
      <c r="E21" s="314"/>
      <c r="F21" s="34"/>
      <c r="G21" s="34"/>
      <c r="H21" s="312"/>
      <c r="I21" s="34"/>
    </row>
    <row r="22" spans="1:9" ht="23.25" customHeight="1">
      <c r="A22" s="313" t="s">
        <v>524</v>
      </c>
      <c r="B22" s="313"/>
      <c r="C22" s="313"/>
      <c r="D22" s="313"/>
      <c r="E22" s="313"/>
      <c r="F22" s="313"/>
      <c r="G22" s="313"/>
      <c r="H22" s="313"/>
      <c r="I22" s="313"/>
    </row>
    <row r="23" spans="1:9" ht="23.25" customHeight="1">
      <c r="A23" s="1" t="s">
        <v>455</v>
      </c>
      <c r="B23" s="1"/>
      <c r="C23" s="1"/>
      <c r="D23" s="1"/>
      <c r="E23" s="1"/>
      <c r="F23" s="1"/>
      <c r="G23" s="1"/>
      <c r="H23" s="1"/>
      <c r="I23" s="1"/>
    </row>
    <row r="24" spans="1:9" ht="23.25" customHeight="1">
      <c r="A24" s="1"/>
      <c r="B24" s="1" t="s">
        <v>338</v>
      </c>
      <c r="C24" s="1"/>
      <c r="D24" s="1"/>
      <c r="E24" s="1"/>
      <c r="F24" s="1"/>
      <c r="G24" s="1"/>
      <c r="H24" s="1"/>
      <c r="I24" s="1"/>
    </row>
    <row r="25" spans="1:9" ht="23.25" customHeight="1">
      <c r="A25" s="1"/>
      <c r="B25" s="1" t="s">
        <v>237</v>
      </c>
      <c r="C25" s="1"/>
      <c r="D25" s="1"/>
      <c r="E25" s="1"/>
      <c r="F25" s="1"/>
      <c r="G25" s="1"/>
      <c r="H25" s="1"/>
      <c r="I25" s="1"/>
    </row>
    <row r="26" spans="1:9">
      <c r="A26" s="1"/>
      <c r="B26" s="1"/>
      <c r="C26" s="1"/>
      <c r="D26" s="1"/>
      <c r="E26" s="1"/>
      <c r="F26" s="1"/>
      <c r="G26" s="1"/>
      <c r="H26" s="1"/>
      <c r="I26" s="1"/>
    </row>
    <row r="27" spans="1:9">
      <c r="A27" s="1"/>
      <c r="B27" s="1"/>
      <c r="C27" s="1"/>
      <c r="D27" s="1"/>
      <c r="E27" s="1"/>
      <c r="F27" s="1"/>
      <c r="G27" s="1"/>
      <c r="H27" s="1"/>
      <c r="I27" s="1"/>
    </row>
    <row r="28" spans="1:9">
      <c r="A28" s="1"/>
      <c r="B28" s="1"/>
      <c r="C28" s="1"/>
      <c r="D28" s="1"/>
      <c r="E28" s="1"/>
      <c r="F28" s="1"/>
      <c r="G28" s="1"/>
      <c r="H28" s="1"/>
      <c r="I28" s="1"/>
    </row>
    <row r="29" spans="1:9">
      <c r="A29" s="310"/>
      <c r="B29" s="310"/>
      <c r="C29" s="310"/>
      <c r="D29" s="310"/>
      <c r="E29" s="310"/>
      <c r="F29" s="310"/>
      <c r="G29" s="310"/>
      <c r="H29" s="310"/>
      <c r="I29" s="310"/>
    </row>
    <row r="30" spans="1:9">
      <c r="A30" t="s">
        <v>174</v>
      </c>
    </row>
    <row r="31" spans="1:9">
      <c r="B31" t="s">
        <v>32</v>
      </c>
    </row>
    <row r="32" spans="1:9">
      <c r="B32" t="s">
        <v>306</v>
      </c>
    </row>
    <row r="33" spans="1:2">
      <c r="A33" t="s">
        <v>176</v>
      </c>
    </row>
    <row r="34" spans="1:2">
      <c r="B34" t="s">
        <v>317</v>
      </c>
    </row>
    <row r="35" spans="1:2">
      <c r="B35" t="s">
        <v>310</v>
      </c>
    </row>
    <row r="36" spans="1:2">
      <c r="B36" t="s">
        <v>308</v>
      </c>
    </row>
    <row r="37" spans="1:2">
      <c r="B37" t="s">
        <v>193</v>
      </c>
    </row>
    <row r="39" spans="1:2">
      <c r="A39" t="s">
        <v>307</v>
      </c>
    </row>
    <row r="40" spans="1:2">
      <c r="B40" t="s">
        <v>313</v>
      </c>
    </row>
    <row r="41" spans="1:2">
      <c r="B41" t="s">
        <v>315</v>
      </c>
    </row>
    <row r="45" spans="1:2">
      <c r="A45" t="s">
        <v>177</v>
      </c>
    </row>
    <row r="46" spans="1:2">
      <c r="B46" t="s">
        <v>353</v>
      </c>
    </row>
    <row r="47" spans="1:2">
      <c r="B47" t="s">
        <v>22</v>
      </c>
    </row>
    <row r="48" spans="1:2">
      <c r="B48" t="s">
        <v>283</v>
      </c>
    </row>
  </sheetData>
  <mergeCells count="38">
    <mergeCell ref="A3:B3"/>
    <mergeCell ref="C3:E3"/>
    <mergeCell ref="A4:B4"/>
    <mergeCell ref="C4:E4"/>
    <mergeCell ref="A5:B5"/>
    <mergeCell ref="C5:E5"/>
    <mergeCell ref="A6:B6"/>
    <mergeCell ref="C6:E6"/>
    <mergeCell ref="A7:B7"/>
    <mergeCell ref="C7:E7"/>
    <mergeCell ref="A8:B8"/>
    <mergeCell ref="C8:E8"/>
    <mergeCell ref="A9:B9"/>
    <mergeCell ref="C9:E9"/>
    <mergeCell ref="A10:B10"/>
    <mergeCell ref="C10:E10"/>
    <mergeCell ref="A11:B11"/>
    <mergeCell ref="C11:E11"/>
    <mergeCell ref="A12:B12"/>
    <mergeCell ref="C12:E12"/>
    <mergeCell ref="A13:B13"/>
    <mergeCell ref="C13:E13"/>
    <mergeCell ref="A14:B14"/>
    <mergeCell ref="C14:E14"/>
    <mergeCell ref="A15:B15"/>
    <mergeCell ref="C15:E15"/>
    <mergeCell ref="A16:B16"/>
    <mergeCell ref="C16:E16"/>
    <mergeCell ref="A17:B17"/>
    <mergeCell ref="C17:E17"/>
    <mergeCell ref="A18:B18"/>
    <mergeCell ref="C18:E18"/>
    <mergeCell ref="A19:B19"/>
    <mergeCell ref="C19:E19"/>
    <mergeCell ref="A20:B20"/>
    <mergeCell ref="C20:E20"/>
    <mergeCell ref="A21:B21"/>
    <mergeCell ref="C21:E21"/>
  </mergeCells>
  <phoneticPr fontId="1"/>
  <pageMargins left="0.7" right="0.7" top="0.75" bottom="0.75" header="0.3" footer="0.3"/>
  <pageSetup paperSize="9"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I46"/>
  <sheetViews>
    <sheetView showGridLines="0" view="pageBreakPreview" zoomScaleNormal="130" zoomScaleSheetLayoutView="100" workbookViewId="0">
      <selection activeCell="A2" sqref="A2"/>
    </sheetView>
  </sheetViews>
  <sheetFormatPr defaultRowHeight="13.5"/>
  <cols>
    <col min="1" max="1" width="17.125" customWidth="1"/>
    <col min="2" max="7" width="15.5" customWidth="1"/>
    <col min="8" max="8" width="18.75" bestFit="1" customWidth="1"/>
    <col min="9" max="9" width="15.5" customWidth="1"/>
  </cols>
  <sheetData>
    <row r="1" spans="1:9" ht="21" customHeight="1">
      <c r="A1" s="36" t="s">
        <v>578</v>
      </c>
    </row>
    <row r="2" spans="1:9" ht="21" customHeight="1">
      <c r="A2" s="36" t="s">
        <v>200</v>
      </c>
    </row>
    <row r="3" spans="1:9" ht="23.25" customHeight="1">
      <c r="A3" s="43" t="s">
        <v>309</v>
      </c>
      <c r="B3" s="43" t="s">
        <v>331</v>
      </c>
      <c r="C3" s="43" t="s">
        <v>508</v>
      </c>
      <c r="D3" s="43" t="s">
        <v>509</v>
      </c>
      <c r="E3" s="43" t="s">
        <v>159</v>
      </c>
      <c r="F3" s="43" t="s">
        <v>410</v>
      </c>
      <c r="G3" s="43" t="s">
        <v>366</v>
      </c>
      <c r="H3" s="43" t="s">
        <v>118</v>
      </c>
      <c r="I3" s="206" t="s">
        <v>475</v>
      </c>
    </row>
    <row r="4" spans="1:9" ht="75.75" customHeight="1">
      <c r="A4" s="228"/>
      <c r="B4" s="228"/>
      <c r="C4" s="228"/>
      <c r="D4" s="228"/>
      <c r="E4" s="32"/>
      <c r="F4" s="32"/>
      <c r="G4" s="32"/>
      <c r="H4" s="228"/>
      <c r="I4" s="32"/>
    </row>
    <row r="5" spans="1:9" ht="75.75" customHeight="1">
      <c r="A5" s="32"/>
      <c r="B5" s="32"/>
      <c r="C5" s="32"/>
      <c r="D5" s="32"/>
      <c r="E5" s="32"/>
      <c r="F5" s="32"/>
      <c r="G5" s="32"/>
      <c r="H5" s="32"/>
      <c r="I5" s="32"/>
    </row>
    <row r="6" spans="1:9" ht="75.75" customHeight="1">
      <c r="A6" s="32"/>
      <c r="B6" s="32"/>
      <c r="C6" s="32"/>
      <c r="D6" s="32"/>
      <c r="E6" s="32"/>
      <c r="F6" s="32"/>
      <c r="G6" s="32"/>
      <c r="H6" s="32"/>
      <c r="I6" s="32"/>
    </row>
    <row r="7" spans="1:9" ht="75.75" customHeight="1">
      <c r="A7" s="32"/>
      <c r="B7" s="32"/>
      <c r="C7" s="32"/>
      <c r="D7" s="32"/>
      <c r="E7" s="32"/>
      <c r="F7" s="32"/>
      <c r="G7" s="32"/>
      <c r="H7" s="32"/>
      <c r="I7" s="32"/>
    </row>
    <row r="8" spans="1:9" ht="75.75" customHeight="1">
      <c r="A8" s="32"/>
      <c r="B8" s="32"/>
      <c r="C8" s="32"/>
      <c r="D8" s="32"/>
      <c r="E8" s="32"/>
      <c r="F8" s="32"/>
      <c r="G8" s="32"/>
      <c r="H8" s="32"/>
      <c r="I8" s="32"/>
    </row>
    <row r="9" spans="1:9">
      <c r="A9" s="313"/>
      <c r="C9" s="4"/>
      <c r="E9" s="4"/>
      <c r="I9" s="4"/>
    </row>
    <row r="10" spans="1:9">
      <c r="A10" s="1" t="s">
        <v>81</v>
      </c>
      <c r="B10" s="1"/>
      <c r="C10" s="1"/>
      <c r="D10" s="1"/>
      <c r="E10" s="1"/>
      <c r="F10" s="1"/>
      <c r="G10" s="1"/>
      <c r="H10" s="1"/>
      <c r="I10" s="1"/>
    </row>
    <row r="11" spans="1:9">
      <c r="A11" s="1" t="s">
        <v>563</v>
      </c>
      <c r="B11" s="1"/>
      <c r="C11" s="1"/>
      <c r="D11" s="1"/>
      <c r="E11" s="1"/>
      <c r="F11" s="1"/>
      <c r="G11" s="1"/>
      <c r="H11" s="1"/>
      <c r="I11" s="1"/>
    </row>
    <row r="12" spans="1:9">
      <c r="A12" s="1" t="s">
        <v>543</v>
      </c>
      <c r="B12" s="1"/>
      <c r="C12" s="1"/>
      <c r="D12" s="1"/>
      <c r="E12" s="1"/>
      <c r="F12" s="1"/>
      <c r="G12" s="1"/>
      <c r="H12" s="1"/>
      <c r="I12" s="1"/>
    </row>
    <row r="13" spans="1:9" ht="15" customHeight="1">
      <c r="A13" s="1" t="s">
        <v>544</v>
      </c>
      <c r="B13" s="1"/>
      <c r="C13" s="1"/>
      <c r="D13" s="1"/>
      <c r="E13" s="1"/>
      <c r="F13" s="1"/>
      <c r="G13" s="1"/>
      <c r="H13" s="1"/>
      <c r="I13" s="1"/>
    </row>
    <row r="14" spans="1:9" ht="15" customHeight="1">
      <c r="A14" s="1" t="s">
        <v>564</v>
      </c>
      <c r="B14" s="1"/>
      <c r="C14" s="1"/>
      <c r="D14" s="1"/>
      <c r="E14" s="1"/>
      <c r="F14" s="1"/>
      <c r="G14" s="1"/>
      <c r="H14" s="1"/>
      <c r="I14" s="1"/>
    </row>
    <row r="15" spans="1:9">
      <c r="A15" s="1" t="s">
        <v>565</v>
      </c>
      <c r="B15" s="1"/>
      <c r="C15" s="1"/>
      <c r="D15" s="1"/>
      <c r="E15" s="1"/>
      <c r="F15" s="1"/>
      <c r="G15" s="1"/>
      <c r="H15" s="1"/>
      <c r="I15" s="1"/>
    </row>
    <row r="16" spans="1:9">
      <c r="A16" s="1" t="s">
        <v>566</v>
      </c>
      <c r="B16" s="1"/>
      <c r="C16" s="1"/>
      <c r="D16" s="1"/>
      <c r="E16" s="1"/>
      <c r="F16" s="1"/>
      <c r="G16" s="1"/>
      <c r="H16" s="1"/>
      <c r="I16" s="1"/>
    </row>
    <row r="17" spans="1:9">
      <c r="A17" s="1"/>
      <c r="B17" s="1"/>
      <c r="C17" s="1"/>
      <c r="D17" s="1"/>
      <c r="E17" s="1"/>
      <c r="F17" s="1"/>
      <c r="G17" s="1"/>
      <c r="H17" s="1"/>
      <c r="I17" s="1"/>
    </row>
    <row r="18" spans="1:9" ht="14.25">
      <c r="A18" s="35" t="s">
        <v>387</v>
      </c>
      <c r="B18" s="35"/>
      <c r="C18" s="1"/>
      <c r="D18" s="1"/>
      <c r="E18" s="1"/>
      <c r="F18" s="1"/>
      <c r="G18" s="1"/>
      <c r="H18" s="1"/>
      <c r="I18" s="1"/>
    </row>
    <row r="19" spans="1:9" ht="14.25">
      <c r="A19" s="35"/>
      <c r="B19" s="35"/>
      <c r="C19" s="1"/>
      <c r="D19" s="1"/>
      <c r="E19" s="1"/>
      <c r="F19" s="1"/>
      <c r="G19" s="1"/>
      <c r="H19" s="1"/>
      <c r="I19" s="1"/>
    </row>
    <row r="20" spans="1:9" ht="14.25">
      <c r="A20" s="35"/>
      <c r="B20" s="1" t="s">
        <v>27</v>
      </c>
      <c r="C20" s="1"/>
      <c r="D20" s="1"/>
      <c r="E20" s="1"/>
      <c r="F20" s="1"/>
      <c r="G20" s="1"/>
      <c r="H20" s="1"/>
      <c r="I20" s="1"/>
    </row>
    <row r="21" spans="1:9" ht="14.25">
      <c r="A21" s="35"/>
      <c r="B21" s="1" t="s">
        <v>545</v>
      </c>
      <c r="C21" s="1"/>
      <c r="D21" s="1"/>
      <c r="E21" s="1"/>
      <c r="F21" s="1"/>
      <c r="G21" s="1"/>
      <c r="H21" s="1"/>
      <c r="I21" s="1"/>
    </row>
    <row r="22" spans="1:9" ht="14.25">
      <c r="A22" s="35"/>
      <c r="B22" s="1" t="s">
        <v>546</v>
      </c>
      <c r="C22" s="1"/>
      <c r="D22" s="1"/>
      <c r="E22" s="1"/>
      <c r="F22" s="1"/>
      <c r="G22" s="1"/>
      <c r="H22" s="1"/>
      <c r="I22" s="1"/>
    </row>
    <row r="23" spans="1:9" ht="14.25">
      <c r="A23" s="35"/>
      <c r="B23" s="1" t="s">
        <v>547</v>
      </c>
      <c r="C23" s="1"/>
      <c r="D23" s="1"/>
      <c r="E23" s="1"/>
      <c r="F23" s="1"/>
      <c r="G23" s="1"/>
      <c r="H23" s="1"/>
      <c r="I23" s="1"/>
    </row>
    <row r="24" spans="1:9" ht="14.25">
      <c r="A24" s="35"/>
      <c r="B24" s="1" t="s">
        <v>168</v>
      </c>
      <c r="C24" s="1"/>
      <c r="D24" s="1"/>
      <c r="E24" s="1"/>
      <c r="F24" s="1"/>
      <c r="G24" s="1"/>
      <c r="H24" s="1"/>
      <c r="I24" s="1"/>
    </row>
    <row r="25" spans="1:9" ht="14.25">
      <c r="A25" s="35"/>
      <c r="B25" s="1" t="s">
        <v>548</v>
      </c>
      <c r="C25" s="1"/>
      <c r="D25" s="1"/>
      <c r="E25" s="1"/>
      <c r="F25" s="1"/>
      <c r="G25" s="1"/>
      <c r="H25" s="1"/>
      <c r="I25" s="1"/>
    </row>
    <row r="26" spans="1:9" ht="14.25">
      <c r="A26" s="35"/>
      <c r="B26" s="1" t="s">
        <v>190</v>
      </c>
      <c r="C26" s="1"/>
      <c r="D26" s="1"/>
      <c r="E26" s="1"/>
      <c r="F26" s="1"/>
      <c r="G26" s="1"/>
      <c r="H26" s="1"/>
      <c r="I26" s="1"/>
    </row>
    <row r="27" spans="1:9">
      <c r="A27" s="1"/>
      <c r="B27" s="1"/>
      <c r="C27" s="1"/>
      <c r="D27" s="1"/>
      <c r="E27" s="1"/>
      <c r="F27" s="1"/>
      <c r="G27" s="1"/>
      <c r="H27" s="1"/>
      <c r="I27" s="1"/>
    </row>
    <row r="28" spans="1:9" ht="14.25">
      <c r="A28" s="35" t="s">
        <v>476</v>
      </c>
      <c r="B28" s="35"/>
      <c r="C28" s="1"/>
      <c r="D28" s="1"/>
      <c r="E28" s="1"/>
      <c r="F28" s="1"/>
      <c r="G28" s="1"/>
      <c r="H28" s="1"/>
      <c r="I28" s="1"/>
    </row>
    <row r="29" spans="1:9" ht="14.25">
      <c r="A29" s="316" t="s">
        <v>145</v>
      </c>
      <c r="B29" s="316"/>
      <c r="C29" s="310"/>
      <c r="D29" s="310"/>
      <c r="E29" s="310"/>
      <c r="F29" s="310"/>
      <c r="G29" s="310"/>
      <c r="H29" s="310"/>
      <c r="I29" s="310"/>
    </row>
    <row r="30" spans="1:9" ht="14.25">
      <c r="A30" s="35"/>
      <c r="B30" s="35"/>
    </row>
    <row r="31" spans="1:9">
      <c r="B31" t="s">
        <v>468</v>
      </c>
    </row>
    <row r="32" spans="1:9">
      <c r="B32" t="s">
        <v>469</v>
      </c>
    </row>
    <row r="34" spans="2:2">
      <c r="B34" t="s">
        <v>202</v>
      </c>
    </row>
    <row r="35" spans="2:2">
      <c r="B35" t="s">
        <v>462</v>
      </c>
    </row>
    <row r="36" spans="2:2">
      <c r="B36" t="s">
        <v>463</v>
      </c>
    </row>
    <row r="37" spans="2:2">
      <c r="B37" t="s">
        <v>392</v>
      </c>
    </row>
    <row r="38" spans="2:2">
      <c r="B38" t="s">
        <v>131</v>
      </c>
    </row>
    <row r="39" spans="2:2">
      <c r="B39" t="s">
        <v>25</v>
      </c>
    </row>
    <row r="40" spans="2:2">
      <c r="B40" t="s">
        <v>465</v>
      </c>
    </row>
    <row r="41" spans="2:2">
      <c r="B41" t="s">
        <v>341</v>
      </c>
    </row>
    <row r="42" spans="2:2">
      <c r="B42" t="s">
        <v>29</v>
      </c>
    </row>
    <row r="43" spans="2:2">
      <c r="B43" t="s">
        <v>466</v>
      </c>
    </row>
    <row r="44" spans="2:2">
      <c r="B44" t="s">
        <v>300</v>
      </c>
    </row>
    <row r="45" spans="2:2">
      <c r="B45" t="s">
        <v>467</v>
      </c>
    </row>
    <row r="46" spans="2:2">
      <c r="B46" t="s">
        <v>238</v>
      </c>
    </row>
  </sheetData>
  <phoneticPr fontId="1"/>
  <pageMargins left="0.7" right="0.7" top="0.75" bottom="0.75" header="0.3" footer="0.3"/>
  <pageSetup paperSize="9" scale="92" fitToWidth="1" fitToHeight="1" orientation="landscape"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FFFF00"/>
  </sheetPr>
  <dimension ref="A1:N62"/>
  <sheetViews>
    <sheetView showGridLines="0" view="pageBreakPreview" zoomScale="85" zoomScaleSheetLayoutView="85" workbookViewId="0">
      <selection activeCell="E10" sqref="E10"/>
    </sheetView>
  </sheetViews>
  <sheetFormatPr defaultRowHeight="13.5"/>
  <cols>
    <col min="2" max="2" width="14.375" customWidth="1"/>
    <col min="3" max="3" width="17.75" customWidth="1"/>
    <col min="4" max="4" width="14.375" customWidth="1"/>
    <col min="5" max="5" width="24" customWidth="1"/>
    <col min="6" max="9" width="14.375" customWidth="1"/>
    <col min="10" max="10" width="15.75" customWidth="1"/>
    <col min="11" max="11" width="14.25" customWidth="1"/>
    <col min="16" max="16" width="2.125" customWidth="1"/>
  </cols>
  <sheetData>
    <row r="1" spans="1:14" ht="14.25">
      <c r="A1" s="35" t="s">
        <v>369</v>
      </c>
    </row>
    <row r="2" spans="1:14" ht="14.25">
      <c r="A2" s="35" t="s">
        <v>491</v>
      </c>
    </row>
    <row r="3" spans="1:14">
      <c r="A3" s="61" t="s">
        <v>474</v>
      </c>
      <c r="B3" s="61" t="s">
        <v>3</v>
      </c>
      <c r="C3" s="61" t="s">
        <v>257</v>
      </c>
      <c r="D3" s="61" t="s">
        <v>437</v>
      </c>
      <c r="E3" s="61" t="s">
        <v>525</v>
      </c>
      <c r="F3" s="61" t="s">
        <v>78</v>
      </c>
      <c r="G3" s="61" t="s">
        <v>410</v>
      </c>
      <c r="H3" s="61" t="s">
        <v>477</v>
      </c>
      <c r="I3" s="61" t="s">
        <v>494</v>
      </c>
      <c r="J3" t="s">
        <v>178</v>
      </c>
      <c r="K3" t="s">
        <v>327</v>
      </c>
    </row>
    <row r="4" spans="1:14">
      <c r="A4" s="32"/>
      <c r="B4" s="32"/>
      <c r="C4" s="32"/>
      <c r="D4" s="32"/>
      <c r="E4" s="32"/>
      <c r="F4" s="32"/>
      <c r="G4" s="32"/>
      <c r="H4" s="32"/>
      <c r="I4" s="32"/>
      <c r="K4" t="s">
        <v>318</v>
      </c>
    </row>
    <row r="5" spans="1:14">
      <c r="A5" s="32"/>
      <c r="B5" s="32"/>
      <c r="C5" s="32"/>
      <c r="D5" s="32"/>
      <c r="E5" s="32"/>
      <c r="F5" s="32"/>
      <c r="G5" s="32"/>
      <c r="H5" s="32"/>
      <c r="I5" s="32"/>
      <c r="K5" t="s">
        <v>114</v>
      </c>
    </row>
    <row r="6" spans="1:14">
      <c r="A6" s="32"/>
      <c r="B6" s="32"/>
      <c r="C6" s="32"/>
      <c r="D6" s="32"/>
      <c r="E6" s="32"/>
      <c r="F6" s="32"/>
      <c r="G6" s="32"/>
      <c r="H6" s="32"/>
      <c r="I6" s="32"/>
      <c r="K6" t="s">
        <v>319</v>
      </c>
    </row>
    <row r="7" spans="1:14">
      <c r="A7" s="32"/>
      <c r="B7" s="32"/>
      <c r="C7" s="32"/>
      <c r="D7" s="32"/>
      <c r="E7" s="32"/>
      <c r="F7" s="32"/>
      <c r="G7" s="32"/>
      <c r="H7" s="32"/>
      <c r="I7" s="32"/>
    </row>
    <row r="8" spans="1:14">
      <c r="C8" s="4"/>
      <c r="D8" s="4"/>
      <c r="E8" s="4"/>
      <c r="F8" s="4"/>
      <c r="G8" s="4"/>
      <c r="H8" s="4"/>
      <c r="I8" s="4"/>
    </row>
    <row r="9" spans="1:14">
      <c r="A9" s="36" t="s">
        <v>490</v>
      </c>
      <c r="B9" s="36"/>
    </row>
    <row r="10" spans="1:14">
      <c r="A10" s="61" t="s">
        <v>277</v>
      </c>
      <c r="B10" s="61" t="s">
        <v>483</v>
      </c>
      <c r="C10" s="61" t="s">
        <v>179</v>
      </c>
      <c r="D10" s="61" t="s">
        <v>384</v>
      </c>
      <c r="E10" s="61" t="s">
        <v>409</v>
      </c>
      <c r="F10" s="61" t="s">
        <v>78</v>
      </c>
      <c r="G10" s="61" t="s">
        <v>410</v>
      </c>
      <c r="H10" s="61" t="s">
        <v>477</v>
      </c>
      <c r="I10" s="61" t="s">
        <v>494</v>
      </c>
      <c r="J10" t="s">
        <v>7</v>
      </c>
    </row>
    <row r="11" spans="1:14">
      <c r="A11" s="32"/>
      <c r="B11" s="32"/>
      <c r="C11" s="32"/>
      <c r="D11" s="32"/>
      <c r="E11" s="32"/>
      <c r="F11" s="32"/>
      <c r="G11" s="32"/>
      <c r="H11" s="32"/>
      <c r="I11" s="32"/>
      <c r="K11" t="s">
        <v>322</v>
      </c>
    </row>
    <row r="12" spans="1:14">
      <c r="A12" s="32"/>
      <c r="B12" s="32"/>
      <c r="C12" s="32"/>
      <c r="D12" s="32"/>
      <c r="E12" s="32"/>
      <c r="F12" s="32"/>
      <c r="G12" s="32"/>
      <c r="H12" s="32"/>
      <c r="I12" s="32"/>
      <c r="K12" t="s">
        <v>326</v>
      </c>
    </row>
    <row r="13" spans="1:14">
      <c r="A13" s="32"/>
      <c r="B13" s="32"/>
      <c r="C13" s="32"/>
      <c r="D13" s="32"/>
      <c r="E13" s="32"/>
      <c r="F13" s="32"/>
      <c r="G13" s="32"/>
      <c r="H13" s="32"/>
      <c r="I13" s="32"/>
      <c r="K13" t="s">
        <v>144</v>
      </c>
    </row>
    <row r="14" spans="1:14">
      <c r="A14" s="32"/>
      <c r="B14" s="32"/>
      <c r="C14" s="32"/>
      <c r="D14" s="32"/>
      <c r="E14" s="32"/>
      <c r="F14" s="32"/>
      <c r="G14" s="32"/>
      <c r="H14" s="32"/>
      <c r="I14" s="32"/>
    </row>
    <row r="15" spans="1:14">
      <c r="A15" s="32"/>
      <c r="B15" s="32"/>
      <c r="C15" s="32"/>
      <c r="D15" s="32"/>
      <c r="E15" s="32"/>
      <c r="F15" s="32"/>
      <c r="G15" s="32"/>
      <c r="H15" s="32"/>
      <c r="I15" s="32"/>
      <c r="J15" t="s">
        <v>299</v>
      </c>
    </row>
    <row r="16" spans="1:14">
      <c r="A16" s="1"/>
      <c r="B16" s="1"/>
      <c r="C16" s="4"/>
      <c r="D16" s="4"/>
      <c r="E16" s="4"/>
      <c r="F16" s="4"/>
      <c r="G16" s="4"/>
      <c r="H16" s="4"/>
      <c r="I16" s="4"/>
      <c r="K16" t="s">
        <v>329</v>
      </c>
      <c r="M16" s="4"/>
      <c r="N16" s="4"/>
    </row>
    <row r="17" spans="1:11">
      <c r="A17" s="36" t="s">
        <v>105</v>
      </c>
      <c r="B17" s="36"/>
      <c r="C17" s="1"/>
      <c r="D17" s="1"/>
      <c r="E17" s="1"/>
      <c r="F17" s="1"/>
      <c r="G17" s="1"/>
      <c r="H17" s="1"/>
      <c r="I17" s="1"/>
      <c r="K17" t="s">
        <v>208</v>
      </c>
    </row>
    <row r="18" spans="1:11">
      <c r="A18" s="104" t="s">
        <v>43</v>
      </c>
      <c r="B18" s="104" t="s">
        <v>231</v>
      </c>
      <c r="C18" s="104" t="s">
        <v>179</v>
      </c>
      <c r="D18" s="104" t="s">
        <v>384</v>
      </c>
      <c r="E18" s="104" t="s">
        <v>495</v>
      </c>
      <c r="F18" s="104" t="s">
        <v>493</v>
      </c>
      <c r="G18" s="104" t="s">
        <v>410</v>
      </c>
      <c r="H18" s="104" t="s">
        <v>477</v>
      </c>
      <c r="I18" s="104" t="s">
        <v>199</v>
      </c>
      <c r="K18" t="s">
        <v>332</v>
      </c>
    </row>
    <row r="19" spans="1:11">
      <c r="A19" s="229"/>
      <c r="B19" s="229"/>
      <c r="C19" s="229"/>
      <c r="D19" s="229"/>
      <c r="E19" s="229"/>
      <c r="F19" s="229"/>
      <c r="G19" s="229"/>
      <c r="H19" s="229"/>
      <c r="I19" s="229"/>
      <c r="K19" t="s">
        <v>333</v>
      </c>
    </row>
    <row r="20" spans="1:11">
      <c r="A20" s="229"/>
      <c r="B20" s="229"/>
      <c r="C20" s="229"/>
      <c r="D20" s="229"/>
      <c r="E20" s="229"/>
      <c r="F20" s="229"/>
      <c r="G20" s="229"/>
      <c r="H20" s="229"/>
      <c r="I20" s="229"/>
      <c r="K20" t="s">
        <v>335</v>
      </c>
    </row>
    <row r="21" spans="1:11">
      <c r="A21" s="229"/>
      <c r="B21" s="229"/>
      <c r="C21" s="229"/>
      <c r="D21" s="229"/>
      <c r="E21" s="229"/>
      <c r="F21" s="229"/>
      <c r="G21" s="229"/>
      <c r="H21" s="229"/>
      <c r="I21" s="229"/>
    </row>
    <row r="22" spans="1:11">
      <c r="A22" s="229"/>
      <c r="B22" s="229"/>
      <c r="C22" s="229"/>
      <c r="D22" s="229"/>
      <c r="E22" s="229"/>
      <c r="F22" s="229"/>
      <c r="G22" s="229"/>
      <c r="H22" s="229"/>
      <c r="I22" s="229"/>
      <c r="J22" t="s">
        <v>336</v>
      </c>
    </row>
    <row r="23" spans="1:11">
      <c r="A23" s="229"/>
      <c r="B23" s="229"/>
      <c r="C23" s="229"/>
      <c r="D23" s="229"/>
      <c r="E23" s="229"/>
      <c r="F23" s="229"/>
      <c r="G23" s="229"/>
      <c r="H23" s="229"/>
      <c r="I23" s="229"/>
      <c r="K23" t="s">
        <v>320</v>
      </c>
    </row>
    <row r="24" spans="1:11">
      <c r="A24" s="1"/>
      <c r="B24" s="1"/>
      <c r="C24" s="1"/>
      <c r="D24" s="1"/>
      <c r="E24" s="1"/>
      <c r="F24" s="1"/>
      <c r="G24" s="1"/>
      <c r="H24" s="1"/>
      <c r="I24" s="1"/>
      <c r="K24" t="s">
        <v>502</v>
      </c>
    </row>
    <row r="25" spans="1:11">
      <c r="A25" s="36" t="s">
        <v>461</v>
      </c>
      <c r="B25" s="1"/>
      <c r="C25" s="1"/>
      <c r="D25" s="1"/>
      <c r="E25" s="1"/>
      <c r="F25" s="1"/>
      <c r="G25" s="1"/>
      <c r="H25" s="1"/>
      <c r="I25" s="1"/>
      <c r="K25" t="s">
        <v>503</v>
      </c>
    </row>
    <row r="26" spans="1:11">
      <c r="A26" s="104" t="s">
        <v>459</v>
      </c>
      <c r="B26" s="104" t="s">
        <v>473</v>
      </c>
      <c r="C26" s="104" t="s">
        <v>496</v>
      </c>
      <c r="D26" s="104" t="s">
        <v>404</v>
      </c>
      <c r="E26" s="104" t="s">
        <v>497</v>
      </c>
      <c r="F26" s="104" t="s">
        <v>216</v>
      </c>
      <c r="G26" s="104" t="s">
        <v>410</v>
      </c>
      <c r="H26" s="317" t="s">
        <v>494</v>
      </c>
      <c r="I26" s="92"/>
    </row>
    <row r="27" spans="1:11">
      <c r="A27" s="229"/>
      <c r="B27" s="229"/>
      <c r="C27" s="229"/>
      <c r="D27" s="229"/>
      <c r="E27" s="229"/>
      <c r="F27" s="229"/>
      <c r="G27" s="229"/>
      <c r="H27" s="318"/>
      <c r="I27" s="319"/>
      <c r="J27" t="s">
        <v>180</v>
      </c>
    </row>
    <row r="28" spans="1:11">
      <c r="A28" s="229"/>
      <c r="B28" s="229"/>
      <c r="C28" s="229"/>
      <c r="D28" s="229"/>
      <c r="E28" s="229"/>
      <c r="F28" s="229"/>
      <c r="G28" s="229"/>
      <c r="H28" s="318"/>
      <c r="I28" s="319"/>
    </row>
    <row r="29" spans="1:11">
      <c r="A29" s="229"/>
      <c r="B29" s="229"/>
      <c r="C29" s="229"/>
      <c r="D29" s="229"/>
      <c r="E29" s="229"/>
      <c r="F29" s="229"/>
      <c r="G29" s="229"/>
      <c r="H29" s="318"/>
      <c r="I29" s="319"/>
    </row>
    <row r="30" spans="1:11">
      <c r="A30" s="229"/>
      <c r="B30" s="229"/>
      <c r="C30" s="229"/>
      <c r="D30" s="229"/>
      <c r="E30" s="229"/>
      <c r="F30" s="229"/>
      <c r="G30" s="229"/>
      <c r="H30" s="318"/>
      <c r="I30" s="319"/>
      <c r="J30" t="s">
        <v>434</v>
      </c>
    </row>
    <row r="31" spans="1:11">
      <c r="K31" t="s">
        <v>444</v>
      </c>
    </row>
    <row r="32" spans="1:11">
      <c r="A32" t="s">
        <v>172</v>
      </c>
      <c r="K32" t="s">
        <v>504</v>
      </c>
    </row>
    <row r="33" spans="1:11">
      <c r="A33" t="s">
        <v>88</v>
      </c>
    </row>
    <row r="34" spans="1:11">
      <c r="A34" t="s">
        <v>178</v>
      </c>
      <c r="B34" t="s">
        <v>327</v>
      </c>
    </row>
    <row r="35" spans="1:11">
      <c r="B35" t="s">
        <v>318</v>
      </c>
      <c r="K35" t="s">
        <v>470</v>
      </c>
    </row>
    <row r="36" spans="1:11">
      <c r="B36" t="s">
        <v>114</v>
      </c>
      <c r="K36" t="s">
        <v>252</v>
      </c>
    </row>
    <row r="37" spans="1:11">
      <c r="B37" t="s">
        <v>319</v>
      </c>
      <c r="K37" t="s">
        <v>471</v>
      </c>
    </row>
    <row r="38" spans="1:11">
      <c r="K38" t="s">
        <v>221</v>
      </c>
    </row>
    <row r="39" spans="1:11">
      <c r="K39" t="s">
        <v>472</v>
      </c>
    </row>
    <row r="40" spans="1:11">
      <c r="A40" t="s">
        <v>7</v>
      </c>
    </row>
    <row r="41" spans="1:11">
      <c r="B41" t="s">
        <v>322</v>
      </c>
    </row>
    <row r="42" spans="1:11">
      <c r="B42" t="s">
        <v>326</v>
      </c>
    </row>
    <row r="43" spans="1:11">
      <c r="B43" t="s">
        <v>144</v>
      </c>
    </row>
    <row r="45" spans="1:11">
      <c r="A45" t="s">
        <v>299</v>
      </c>
    </row>
    <row r="46" spans="1:11">
      <c r="B46" t="s">
        <v>329</v>
      </c>
    </row>
    <row r="47" spans="1:11">
      <c r="B47" t="s">
        <v>208</v>
      </c>
    </row>
    <row r="48" spans="1:11">
      <c r="B48" t="s">
        <v>332</v>
      </c>
    </row>
    <row r="49" spans="1:2">
      <c r="B49" t="s">
        <v>333</v>
      </c>
    </row>
    <row r="50" spans="1:2">
      <c r="B50" t="s">
        <v>335</v>
      </c>
    </row>
    <row r="52" spans="1:2">
      <c r="A52" t="s">
        <v>336</v>
      </c>
    </row>
    <row r="53" spans="1:2">
      <c r="B53" t="s">
        <v>320</v>
      </c>
    </row>
    <row r="54" spans="1:2">
      <c r="B54" t="s">
        <v>502</v>
      </c>
    </row>
    <row r="55" spans="1:2">
      <c r="B55" t="s">
        <v>503</v>
      </c>
    </row>
    <row r="57" spans="1:2">
      <c r="A57" t="s">
        <v>180</v>
      </c>
    </row>
    <row r="60" spans="1:2">
      <c r="A60" t="s">
        <v>434</v>
      </c>
    </row>
    <row r="61" spans="1:2">
      <c r="B61" t="s">
        <v>444</v>
      </c>
    </row>
    <row r="62" spans="1:2">
      <c r="B62" t="s">
        <v>504</v>
      </c>
    </row>
  </sheetData>
  <mergeCells count="1">
    <mergeCell ref="H26:I26"/>
  </mergeCells>
  <phoneticPr fontId="1"/>
  <pageMargins left="0.70866141732283472" right="0.70866141732283472" top="0.74803149606299213" bottom="0.74803149606299213" header="0.31496062992125984" footer="0.31496062992125984"/>
  <pageSetup paperSize="9" scale="97" fitToWidth="1" fitToHeight="2" orientation="landscape"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Q43"/>
  <sheetViews>
    <sheetView showGridLines="0" view="pageBreakPreview" zoomScale="60" workbookViewId="0">
      <selection activeCell="G4" sqref="G4"/>
    </sheetView>
  </sheetViews>
  <sheetFormatPr defaultRowHeight="13.5"/>
  <cols>
    <col min="1" max="16" width="18.375" customWidth="1"/>
  </cols>
  <sheetData>
    <row r="1" spans="1:17" ht="14.25">
      <c r="A1" s="35" t="s">
        <v>4</v>
      </c>
      <c r="F1" s="285"/>
    </row>
    <row r="2" spans="1:17" s="4" customFormat="1" ht="32.25" customHeight="1">
      <c r="A2" s="320" t="s">
        <v>261</v>
      </c>
      <c r="B2" s="321" t="s">
        <v>309</v>
      </c>
      <c r="C2" s="320" t="s">
        <v>331</v>
      </c>
      <c r="D2" s="320" t="s">
        <v>58</v>
      </c>
      <c r="E2" s="320" t="s">
        <v>268</v>
      </c>
      <c r="F2" s="321" t="s">
        <v>456</v>
      </c>
      <c r="G2" s="320" t="s">
        <v>107</v>
      </c>
      <c r="H2" s="321" t="s">
        <v>76</v>
      </c>
      <c r="I2" s="320" t="s">
        <v>205</v>
      </c>
      <c r="J2" s="320" t="s">
        <v>549</v>
      </c>
      <c r="K2" s="320" t="s">
        <v>297</v>
      </c>
      <c r="L2" s="320" t="s">
        <v>407</v>
      </c>
      <c r="M2" s="320" t="s">
        <v>457</v>
      </c>
      <c r="N2" s="320" t="s">
        <v>458</v>
      </c>
      <c r="O2" s="321" t="s">
        <v>217</v>
      </c>
      <c r="P2" s="320" t="s">
        <v>403</v>
      </c>
      <c r="Q2" s="323" t="s">
        <v>250</v>
      </c>
    </row>
    <row r="3" spans="1:17" ht="42" customHeight="1">
      <c r="A3" s="32"/>
      <c r="B3" s="68"/>
      <c r="C3" s="228"/>
      <c r="D3" s="32"/>
      <c r="E3" s="32"/>
      <c r="F3" s="228"/>
      <c r="G3" s="228"/>
      <c r="H3" s="68"/>
      <c r="I3" s="32"/>
      <c r="J3" s="322"/>
      <c r="K3" s="32"/>
      <c r="L3" s="322"/>
      <c r="M3" s="322"/>
      <c r="N3" s="32"/>
      <c r="O3" s="32"/>
      <c r="P3" s="228"/>
    </row>
    <row r="4" spans="1:17" ht="33.75" customHeight="1">
      <c r="A4" s="32"/>
      <c r="B4" s="32"/>
      <c r="C4" s="32"/>
      <c r="D4" s="32"/>
      <c r="E4" s="32"/>
      <c r="F4" s="32"/>
      <c r="G4" s="32"/>
      <c r="H4" s="32"/>
      <c r="I4" s="32"/>
      <c r="J4" s="32"/>
      <c r="K4" s="32"/>
      <c r="L4" s="32"/>
      <c r="M4" s="32"/>
      <c r="N4" s="32"/>
      <c r="O4" s="32"/>
      <c r="P4" s="32"/>
    </row>
    <row r="5" spans="1:17" ht="33.75" customHeight="1">
      <c r="A5" s="32"/>
      <c r="B5" s="32"/>
      <c r="C5" s="32"/>
      <c r="D5" s="32"/>
      <c r="E5" s="32"/>
      <c r="F5" s="32"/>
      <c r="G5" s="32"/>
      <c r="H5" s="32"/>
      <c r="I5" s="32"/>
      <c r="J5" s="32"/>
      <c r="K5" s="32"/>
      <c r="L5" s="32"/>
      <c r="M5" s="32"/>
      <c r="N5" s="32"/>
      <c r="O5" s="32"/>
      <c r="P5" s="32"/>
    </row>
    <row r="6" spans="1:17" ht="33.75" customHeight="1">
      <c r="A6" s="32"/>
      <c r="B6" s="32"/>
      <c r="C6" s="32"/>
      <c r="D6" s="32"/>
      <c r="E6" s="32"/>
      <c r="F6" s="32"/>
      <c r="G6" s="32"/>
      <c r="H6" s="32"/>
      <c r="I6" s="32"/>
      <c r="J6" s="32"/>
      <c r="K6" s="32"/>
      <c r="L6" s="32"/>
      <c r="M6" s="32"/>
      <c r="N6" s="32"/>
      <c r="O6" s="32"/>
      <c r="P6" s="32"/>
    </row>
    <row r="7" spans="1:17" ht="33.75" customHeight="1">
      <c r="A7" s="32"/>
      <c r="B7" s="32"/>
      <c r="C7" s="32"/>
      <c r="D7" s="32"/>
      <c r="E7" s="32"/>
      <c r="F7" s="32"/>
      <c r="G7" s="32"/>
      <c r="H7" s="32"/>
      <c r="I7" s="32"/>
      <c r="J7" s="32"/>
      <c r="K7" s="32"/>
      <c r="L7" s="32"/>
      <c r="M7" s="32"/>
      <c r="N7" s="32"/>
      <c r="O7" s="32"/>
      <c r="P7" s="32"/>
    </row>
    <row r="8" spans="1:17" ht="33.75" customHeight="1">
      <c r="A8" s="32"/>
      <c r="B8" s="32"/>
      <c r="C8" s="32"/>
      <c r="D8" s="32"/>
      <c r="E8" s="32"/>
      <c r="F8" s="32"/>
      <c r="G8" s="32"/>
      <c r="H8" s="32"/>
      <c r="I8" s="32"/>
      <c r="J8" s="32"/>
      <c r="K8" s="32"/>
      <c r="L8" s="32"/>
      <c r="M8" s="32"/>
      <c r="N8" s="32"/>
      <c r="O8" s="32"/>
      <c r="P8" s="32"/>
    </row>
    <row r="9" spans="1:17" ht="33.75" customHeight="1">
      <c r="A9" s="32"/>
      <c r="B9" s="32"/>
      <c r="C9" s="32"/>
      <c r="D9" s="32"/>
      <c r="E9" s="32"/>
      <c r="F9" s="32"/>
      <c r="G9" s="32"/>
      <c r="H9" s="32"/>
      <c r="I9" s="32"/>
      <c r="J9" s="32"/>
      <c r="K9" s="32"/>
      <c r="L9" s="32"/>
      <c r="M9" s="32"/>
      <c r="N9" s="32"/>
      <c r="O9" s="32"/>
      <c r="P9" s="32"/>
    </row>
    <row r="10" spans="1:17" ht="33.75" customHeight="1">
      <c r="A10" s="229"/>
      <c r="B10" s="229"/>
      <c r="C10" s="229"/>
      <c r="D10" s="229"/>
      <c r="E10" s="229"/>
      <c r="F10" s="229"/>
      <c r="G10" s="229"/>
      <c r="H10" s="229"/>
      <c r="I10" s="229"/>
      <c r="J10" s="32"/>
      <c r="K10" s="32"/>
      <c r="L10" s="32"/>
      <c r="M10" s="32"/>
      <c r="N10" s="32"/>
      <c r="O10" s="32"/>
      <c r="P10" s="32"/>
    </row>
    <row r="11" spans="1:17" ht="33.75" customHeight="1">
      <c r="A11" s="229"/>
      <c r="B11" s="229"/>
      <c r="C11" s="229"/>
      <c r="D11" s="229"/>
      <c r="E11" s="229"/>
      <c r="F11" s="229"/>
      <c r="G11" s="229"/>
      <c r="H11" s="229"/>
      <c r="I11" s="229"/>
      <c r="J11" s="32"/>
      <c r="K11" s="32"/>
      <c r="L11" s="32"/>
      <c r="M11" s="32"/>
      <c r="N11" s="32"/>
      <c r="O11" s="32"/>
      <c r="P11" s="32"/>
    </row>
    <row r="12" spans="1:17" ht="33.75" customHeight="1">
      <c r="A12" s="229"/>
      <c r="B12" s="229"/>
      <c r="C12" s="229"/>
      <c r="D12" s="229"/>
      <c r="E12" s="229"/>
      <c r="F12" s="229"/>
      <c r="G12" s="229"/>
      <c r="H12" s="229"/>
      <c r="I12" s="229"/>
      <c r="J12" s="32"/>
      <c r="K12" s="32"/>
      <c r="L12" s="32"/>
      <c r="M12" s="32"/>
      <c r="N12" s="32"/>
      <c r="O12" s="32"/>
      <c r="P12" s="32"/>
    </row>
    <row r="13" spans="1:17" ht="33.75" customHeight="1">
      <c r="A13" s="229"/>
      <c r="B13" s="229"/>
      <c r="C13" s="229"/>
      <c r="D13" s="229"/>
      <c r="E13" s="229"/>
      <c r="F13" s="229"/>
      <c r="G13" s="229"/>
      <c r="H13" s="229"/>
      <c r="I13" s="229"/>
      <c r="J13" s="32"/>
      <c r="K13" s="32"/>
      <c r="L13" s="32"/>
      <c r="M13" s="32"/>
      <c r="N13" s="32"/>
      <c r="O13" s="32"/>
      <c r="P13" s="32"/>
    </row>
    <row r="14" spans="1:17" ht="33.75" customHeight="1">
      <c r="A14" s="229"/>
      <c r="B14" s="229"/>
      <c r="C14" s="229"/>
      <c r="D14" s="229"/>
      <c r="E14" s="229"/>
      <c r="F14" s="229"/>
      <c r="G14" s="229"/>
      <c r="H14" s="229"/>
      <c r="I14" s="229"/>
      <c r="J14" s="32"/>
      <c r="K14" s="32"/>
      <c r="L14" s="32"/>
      <c r="M14" s="32"/>
      <c r="N14" s="32"/>
      <c r="O14" s="32"/>
      <c r="P14" s="32"/>
    </row>
    <row r="15" spans="1:17" ht="33.75" customHeight="1">
      <c r="A15" s="229"/>
      <c r="B15" s="229"/>
      <c r="C15" s="229"/>
      <c r="D15" s="229"/>
      <c r="E15" s="229"/>
      <c r="F15" s="229"/>
      <c r="G15" s="229"/>
      <c r="H15" s="229"/>
      <c r="I15" s="229"/>
      <c r="J15" s="32"/>
      <c r="K15" s="32"/>
      <c r="L15" s="32"/>
      <c r="M15" s="32"/>
      <c r="N15" s="32"/>
      <c r="O15" s="32"/>
      <c r="P15" s="32"/>
    </row>
    <row r="16" spans="1:17" ht="33.75" customHeight="1">
      <c r="A16" s="229"/>
      <c r="B16" s="229"/>
      <c r="C16" s="229"/>
      <c r="D16" s="229"/>
      <c r="E16" s="229"/>
      <c r="F16" s="229"/>
      <c r="G16" s="229"/>
      <c r="H16" s="229"/>
      <c r="I16" s="229"/>
      <c r="J16" s="32"/>
      <c r="K16" s="32"/>
      <c r="L16" s="32"/>
      <c r="M16" s="32"/>
      <c r="N16" s="32"/>
      <c r="O16" s="32"/>
      <c r="P16" s="32"/>
    </row>
    <row r="17" spans="1:16" ht="33.75" customHeight="1">
      <c r="A17" s="229"/>
      <c r="B17" s="229"/>
      <c r="C17" s="229"/>
      <c r="D17" s="229"/>
      <c r="E17" s="229"/>
      <c r="F17" s="229"/>
      <c r="G17" s="229"/>
      <c r="H17" s="229"/>
      <c r="I17" s="229"/>
      <c r="J17" s="32"/>
      <c r="K17" s="32"/>
      <c r="L17" s="32"/>
      <c r="M17" s="32"/>
      <c r="N17" s="32"/>
      <c r="O17" s="32"/>
      <c r="P17" s="32"/>
    </row>
    <row r="18" spans="1:16" ht="33.75" customHeight="1">
      <c r="A18" s="229"/>
      <c r="B18" s="229"/>
      <c r="C18" s="229"/>
      <c r="D18" s="229"/>
      <c r="E18" s="229"/>
      <c r="F18" s="229"/>
      <c r="G18" s="229"/>
      <c r="H18" s="229"/>
      <c r="I18" s="229"/>
      <c r="J18" s="32"/>
      <c r="K18" s="32"/>
      <c r="L18" s="32"/>
      <c r="M18" s="32"/>
      <c r="N18" s="32"/>
      <c r="O18" s="32"/>
      <c r="P18" s="32"/>
    </row>
    <row r="19" spans="1:16" ht="33.75" customHeight="1">
      <c r="A19" s="229"/>
      <c r="B19" s="229"/>
      <c r="C19" s="229"/>
      <c r="D19" s="229"/>
      <c r="E19" s="229"/>
      <c r="F19" s="229"/>
      <c r="G19" s="229"/>
      <c r="H19" s="229"/>
      <c r="I19" s="229"/>
      <c r="J19" s="32"/>
      <c r="K19" s="32"/>
      <c r="L19" s="32"/>
      <c r="M19" s="32"/>
      <c r="N19" s="32"/>
      <c r="O19" s="32"/>
      <c r="P19" s="32"/>
    </row>
    <row r="20" spans="1:16" ht="33.75" customHeight="1">
      <c r="A20" s="229"/>
      <c r="B20" s="229"/>
      <c r="C20" s="229"/>
      <c r="D20" s="229"/>
      <c r="E20" s="229"/>
      <c r="F20" s="229"/>
      <c r="G20" s="229"/>
      <c r="H20" s="229"/>
      <c r="I20" s="229"/>
      <c r="J20" s="32"/>
      <c r="K20" s="32"/>
      <c r="L20" s="32"/>
      <c r="M20" s="32"/>
      <c r="N20" s="32"/>
      <c r="O20" s="32"/>
      <c r="P20" s="32"/>
    </row>
    <row r="21" spans="1:16" ht="33.75" customHeight="1">
      <c r="A21" s="229"/>
      <c r="B21" s="229"/>
      <c r="C21" s="229"/>
      <c r="D21" s="229"/>
      <c r="E21" s="229"/>
      <c r="F21" s="229"/>
      <c r="G21" s="229"/>
      <c r="H21" s="229"/>
      <c r="I21" s="229"/>
      <c r="J21" s="32"/>
      <c r="K21" s="32"/>
      <c r="L21" s="32"/>
      <c r="M21" s="32"/>
      <c r="N21" s="32"/>
      <c r="O21" s="32"/>
      <c r="P21" s="32"/>
    </row>
    <row r="22" spans="1:16" ht="33.75" customHeight="1">
      <c r="A22" s="229"/>
      <c r="B22" s="229"/>
      <c r="C22" s="229"/>
      <c r="D22" s="229"/>
      <c r="E22" s="229"/>
      <c r="F22" s="229"/>
      <c r="G22" s="229"/>
      <c r="H22" s="229"/>
      <c r="I22" s="229"/>
      <c r="J22" s="32"/>
      <c r="K22" s="32"/>
      <c r="L22" s="32"/>
      <c r="M22" s="32"/>
      <c r="N22" s="32"/>
      <c r="O22" s="32"/>
      <c r="P22" s="32"/>
    </row>
    <row r="23" spans="1:16">
      <c r="A23" s="1"/>
      <c r="B23" s="1"/>
      <c r="C23" s="1"/>
      <c r="D23" s="1"/>
      <c r="E23" s="1"/>
      <c r="F23" s="1"/>
      <c r="G23" s="1"/>
      <c r="H23" s="1"/>
      <c r="I23" s="1"/>
    </row>
    <row r="24" spans="1:16">
      <c r="A24" s="1" t="s">
        <v>261</v>
      </c>
      <c r="B24" s="1"/>
      <c r="C24" s="1" t="s">
        <v>57</v>
      </c>
      <c r="D24" s="1"/>
      <c r="E24" s="1"/>
      <c r="F24" s="1"/>
      <c r="G24" s="1"/>
      <c r="H24" s="1"/>
      <c r="I24" s="1"/>
    </row>
    <row r="25" spans="1:16">
      <c r="A25" s="1" t="s">
        <v>204</v>
      </c>
      <c r="B25" s="1"/>
      <c r="C25" s="1" t="s">
        <v>337</v>
      </c>
      <c r="D25" s="1"/>
      <c r="E25" s="1"/>
      <c r="F25" s="1"/>
      <c r="G25" s="1"/>
      <c r="H25" s="1"/>
      <c r="I25" s="1"/>
    </row>
    <row r="26" spans="1:16">
      <c r="A26" s="1" t="s">
        <v>136</v>
      </c>
      <c r="B26" s="1"/>
      <c r="C26" s="1"/>
      <c r="D26" s="1"/>
      <c r="E26" s="1"/>
      <c r="F26" s="1"/>
      <c r="G26" s="1"/>
      <c r="H26" s="1"/>
      <c r="I26" s="1"/>
    </row>
    <row r="27" spans="1:16">
      <c r="A27" s="1" t="s">
        <v>62</v>
      </c>
      <c r="B27" s="1"/>
      <c r="C27" s="1" t="s">
        <v>340</v>
      </c>
      <c r="D27" s="1"/>
      <c r="E27" s="1"/>
      <c r="F27" s="1"/>
      <c r="G27" s="1"/>
      <c r="H27" s="1"/>
      <c r="I27" s="1"/>
    </row>
    <row r="28" spans="1:16">
      <c r="A28" s="1" t="s">
        <v>16</v>
      </c>
      <c r="B28" s="1"/>
      <c r="C28" s="1" t="s">
        <v>12</v>
      </c>
      <c r="D28" s="1"/>
      <c r="E28" s="1"/>
      <c r="F28" s="1"/>
      <c r="G28" s="1"/>
      <c r="H28" s="1"/>
      <c r="I28" s="1"/>
    </row>
    <row r="29" spans="1:16">
      <c r="A29" s="310" t="s">
        <v>181</v>
      </c>
      <c r="B29" s="310"/>
      <c r="C29" s="310" t="s">
        <v>222</v>
      </c>
      <c r="D29" s="310"/>
      <c r="E29" s="310"/>
      <c r="F29" s="310"/>
      <c r="G29" s="310"/>
      <c r="H29" s="310"/>
      <c r="I29" s="310"/>
    </row>
    <row r="30" spans="1:16">
      <c r="A30" t="s">
        <v>201</v>
      </c>
      <c r="C30" t="s">
        <v>220</v>
      </c>
    </row>
    <row r="31" spans="1:16">
      <c r="A31" t="s">
        <v>107</v>
      </c>
      <c r="C31" t="s">
        <v>339</v>
      </c>
    </row>
    <row r="32" spans="1:16">
      <c r="A32" t="s">
        <v>76</v>
      </c>
      <c r="C32" t="s">
        <v>73</v>
      </c>
    </row>
    <row r="33" spans="1:3">
      <c r="A33" t="s">
        <v>205</v>
      </c>
      <c r="C33" t="s">
        <v>342</v>
      </c>
    </row>
    <row r="34" spans="1:3">
      <c r="A34" t="s">
        <v>18</v>
      </c>
    </row>
    <row r="35" spans="1:3">
      <c r="A35" t="s">
        <v>207</v>
      </c>
    </row>
    <row r="36" spans="1:3">
      <c r="A36" t="s">
        <v>209</v>
      </c>
    </row>
    <row r="37" spans="1:3">
      <c r="A37" t="s">
        <v>192</v>
      </c>
    </row>
    <row r="38" spans="1:3">
      <c r="A38" t="s">
        <v>143</v>
      </c>
    </row>
    <row r="39" spans="1:3">
      <c r="A39" t="s">
        <v>13</v>
      </c>
    </row>
    <row r="40" spans="1:3">
      <c r="A40" t="s">
        <v>211</v>
      </c>
    </row>
    <row r="41" spans="1:3">
      <c r="A41" t="s">
        <v>214</v>
      </c>
    </row>
    <row r="42" spans="1:3">
      <c r="A42" t="s">
        <v>217</v>
      </c>
    </row>
    <row r="43" spans="1:3">
      <c r="A43" t="s">
        <v>199</v>
      </c>
    </row>
  </sheetData>
  <phoneticPr fontId="1"/>
  <pageMargins left="0.7" right="0.7" top="0.75" bottom="0.75" header="0.3" footer="0.3"/>
  <pageSetup paperSize="9" scale="45" fitToWidth="1" fitToHeight="1" orientation="landscape"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M34"/>
  <sheetViews>
    <sheetView view="pageBreakPreview" zoomScale="130" zoomScaleSheetLayoutView="130" workbookViewId="0">
      <selection activeCell="F6" sqref="F6"/>
    </sheetView>
  </sheetViews>
  <sheetFormatPr defaultRowHeight="13.5"/>
  <cols>
    <col min="1" max="3" width="9.625" customWidth="1"/>
    <col min="4" max="4" width="4.375" customWidth="1"/>
    <col min="5" max="5" width="16" customWidth="1"/>
    <col min="6" max="6" width="19.375" customWidth="1"/>
    <col min="7" max="8" width="10.625" customWidth="1"/>
    <col min="9" max="9" width="10.25" customWidth="1"/>
    <col min="10" max="10" width="14.25" customWidth="1"/>
    <col min="11" max="11" width="19" customWidth="1"/>
    <col min="12" max="12" width="10.625" customWidth="1"/>
    <col min="13" max="13" width="23.5" customWidth="1"/>
    <col min="14" max="14" width="2.375" customWidth="1"/>
  </cols>
  <sheetData>
    <row r="1" spans="1:13">
      <c r="A1" s="36" t="s">
        <v>184</v>
      </c>
    </row>
    <row r="2" spans="1:13">
      <c r="A2" s="313" t="s">
        <v>520</v>
      </c>
      <c r="B2" s="327"/>
      <c r="C2" s="327"/>
      <c r="D2" s="313"/>
      <c r="E2" s="327"/>
      <c r="F2" s="327"/>
      <c r="G2" s="327"/>
      <c r="H2" s="327"/>
      <c r="I2" s="327"/>
      <c r="J2" s="327"/>
      <c r="K2" s="327"/>
      <c r="L2" s="327"/>
      <c r="M2" s="327"/>
    </row>
    <row r="3" spans="1:13" ht="21" customHeight="1">
      <c r="A3" s="324" t="s">
        <v>362</v>
      </c>
      <c r="B3" s="328"/>
      <c r="C3" s="329"/>
      <c r="D3" s="324" t="s">
        <v>363</v>
      </c>
      <c r="E3" s="328"/>
      <c r="F3" s="328"/>
      <c r="G3" s="328"/>
      <c r="H3" s="328"/>
      <c r="I3" s="328"/>
      <c r="J3" s="328"/>
      <c r="K3" s="328"/>
      <c r="L3" s="329"/>
      <c r="M3" s="339" t="s">
        <v>316</v>
      </c>
    </row>
    <row r="4" spans="1:13" ht="27">
      <c r="A4" s="325" t="s">
        <v>364</v>
      </c>
      <c r="B4" s="325" t="s">
        <v>365</v>
      </c>
      <c r="C4" s="330" t="s">
        <v>367</v>
      </c>
      <c r="D4" s="325" t="s">
        <v>370</v>
      </c>
      <c r="E4" s="325" t="s">
        <v>371</v>
      </c>
      <c r="F4" s="325" t="s">
        <v>373</v>
      </c>
      <c r="G4" s="325" t="s">
        <v>120</v>
      </c>
      <c r="H4" s="325" t="s">
        <v>60</v>
      </c>
      <c r="I4" s="325" t="s">
        <v>357</v>
      </c>
      <c r="J4" s="325" t="s">
        <v>375</v>
      </c>
      <c r="K4" s="325" t="s">
        <v>163</v>
      </c>
      <c r="L4" s="325" t="s">
        <v>376</v>
      </c>
      <c r="M4" s="340"/>
    </row>
    <row r="5" spans="1:13" ht="24" customHeight="1">
      <c r="A5" s="326"/>
      <c r="B5" s="326"/>
      <c r="C5" s="326"/>
      <c r="D5" s="326"/>
      <c r="E5" s="335"/>
      <c r="F5" s="335"/>
      <c r="G5" s="335"/>
      <c r="H5" s="335"/>
      <c r="I5" s="335"/>
      <c r="J5" s="335"/>
      <c r="K5" s="335"/>
      <c r="L5" s="326"/>
      <c r="M5" s="326"/>
    </row>
    <row r="6" spans="1:13" ht="32.25" customHeight="1">
      <c r="A6" s="326"/>
      <c r="B6" s="326"/>
      <c r="C6" s="326"/>
      <c r="D6" s="326"/>
      <c r="E6" s="335"/>
      <c r="F6" s="335"/>
      <c r="G6" s="335"/>
      <c r="H6" s="335"/>
      <c r="I6" s="335"/>
      <c r="J6" s="335"/>
      <c r="K6" s="335"/>
      <c r="L6" s="326"/>
      <c r="M6" s="326"/>
    </row>
    <row r="7" spans="1:13" ht="32.25" customHeight="1">
      <c r="A7" s="326"/>
      <c r="B7" s="326"/>
      <c r="C7" s="326"/>
      <c r="D7" s="326"/>
      <c r="E7" s="335"/>
      <c r="F7" s="335"/>
      <c r="G7" s="335"/>
      <c r="H7" s="335"/>
      <c r="I7" s="335"/>
      <c r="J7" s="335"/>
      <c r="K7" s="335"/>
      <c r="L7" s="326"/>
      <c r="M7" s="326"/>
    </row>
    <row r="8" spans="1:13" ht="32.25" customHeight="1">
      <c r="A8" s="326"/>
      <c r="B8" s="326"/>
      <c r="C8" s="326"/>
      <c r="D8" s="326"/>
      <c r="E8" s="335"/>
      <c r="F8" s="335"/>
      <c r="G8" s="335"/>
      <c r="H8" s="335"/>
      <c r="I8" s="335"/>
      <c r="J8" s="335"/>
      <c r="K8" s="335"/>
      <c r="L8" s="326"/>
      <c r="M8" s="326"/>
    </row>
    <row r="9" spans="1:13" ht="32.25" customHeight="1">
      <c r="A9" s="326"/>
      <c r="B9" s="326"/>
      <c r="C9" s="326"/>
      <c r="D9" s="326"/>
      <c r="E9" s="335"/>
      <c r="F9" s="335"/>
      <c r="G9" s="335"/>
      <c r="H9" s="335"/>
      <c r="I9" s="335"/>
      <c r="J9" s="335"/>
      <c r="K9" s="335"/>
      <c r="L9" s="326"/>
      <c r="M9" s="326"/>
    </row>
    <row r="10" spans="1:13" ht="32.25" customHeight="1">
      <c r="A10" s="326"/>
      <c r="B10" s="326"/>
      <c r="C10" s="326"/>
      <c r="D10" s="326"/>
      <c r="E10" s="335"/>
      <c r="F10" s="335"/>
      <c r="G10" s="335"/>
      <c r="H10" s="335"/>
      <c r="I10" s="335"/>
      <c r="J10" s="335"/>
      <c r="K10" s="335"/>
      <c r="L10" s="326"/>
      <c r="M10" s="326"/>
    </row>
    <row r="11" spans="1:13" ht="32.25" customHeight="1">
      <c r="A11" s="326"/>
      <c r="B11" s="326"/>
      <c r="C11" s="326"/>
      <c r="D11" s="326"/>
      <c r="E11" s="335"/>
      <c r="F11" s="335"/>
      <c r="G11" s="335"/>
      <c r="H11" s="335"/>
      <c r="I11" s="335"/>
      <c r="J11" s="335"/>
      <c r="K11" s="335"/>
      <c r="L11" s="326"/>
      <c r="M11" s="326"/>
    </row>
    <row r="12" spans="1:13">
      <c r="A12" s="1"/>
      <c r="B12" s="1"/>
      <c r="C12" s="1"/>
      <c r="D12" s="1"/>
      <c r="E12" s="1"/>
      <c r="F12" s="1"/>
      <c r="G12" s="1"/>
      <c r="H12" s="1"/>
      <c r="I12" s="1"/>
    </row>
    <row r="13" spans="1:13" ht="14.25">
      <c r="A13" s="1"/>
      <c r="B13" s="1"/>
      <c r="C13" s="1"/>
      <c r="D13" s="331" t="s">
        <v>378</v>
      </c>
      <c r="E13" s="337"/>
      <c r="F13" s="337"/>
      <c r="G13" s="1"/>
      <c r="H13" s="1"/>
      <c r="I13" s="1"/>
    </row>
    <row r="14" spans="1:13">
      <c r="A14" s="1"/>
      <c r="B14" s="1"/>
      <c r="C14" s="1"/>
      <c r="D14" s="332" t="s">
        <v>379</v>
      </c>
      <c r="E14" s="336" t="s">
        <v>212</v>
      </c>
      <c r="F14" s="336" t="s">
        <v>380</v>
      </c>
      <c r="G14" s="1"/>
      <c r="H14" s="1"/>
      <c r="I14" s="1"/>
    </row>
    <row r="15" spans="1:13">
      <c r="A15" s="1"/>
      <c r="B15" s="1"/>
      <c r="C15" s="1"/>
      <c r="D15" s="333"/>
      <c r="E15" s="333"/>
      <c r="F15" s="333"/>
      <c r="G15" s="1"/>
      <c r="H15" s="1"/>
      <c r="I15" s="1"/>
    </row>
    <row r="16" spans="1:13" ht="41.25" customHeight="1">
      <c r="A16" s="1"/>
      <c r="B16" s="1"/>
      <c r="C16" s="1"/>
      <c r="D16" s="334">
        <v>1</v>
      </c>
      <c r="E16" s="338" t="s">
        <v>364</v>
      </c>
      <c r="F16" s="338" t="s">
        <v>323</v>
      </c>
      <c r="G16" s="1"/>
      <c r="H16" s="1"/>
      <c r="I16" s="1"/>
    </row>
    <row r="17" spans="1:9" ht="41.25" customHeight="1">
      <c r="A17" s="1"/>
      <c r="B17" s="1"/>
      <c r="C17" s="1"/>
      <c r="D17" s="334">
        <v>2</v>
      </c>
      <c r="E17" s="338" t="s">
        <v>365</v>
      </c>
      <c r="F17" s="338" t="s">
        <v>381</v>
      </c>
      <c r="G17" s="1"/>
      <c r="H17" s="1"/>
      <c r="I17" s="1"/>
    </row>
    <row r="18" spans="1:9" ht="41.25" customHeight="1">
      <c r="A18" s="1"/>
      <c r="B18" s="1"/>
      <c r="C18" s="1"/>
      <c r="D18" s="334">
        <v>3</v>
      </c>
      <c r="E18" s="338" t="s">
        <v>367</v>
      </c>
      <c r="F18" s="338" t="s">
        <v>305</v>
      </c>
      <c r="G18" s="1"/>
      <c r="H18" s="1"/>
      <c r="I18" s="1"/>
    </row>
    <row r="19" spans="1:9">
      <c r="A19" s="1"/>
      <c r="B19" s="1"/>
      <c r="C19" s="1"/>
      <c r="D19" s="1"/>
      <c r="E19" s="1"/>
      <c r="F19" s="1"/>
      <c r="G19" s="1"/>
      <c r="H19" s="1"/>
      <c r="I19" s="1"/>
    </row>
    <row r="20" spans="1:9">
      <c r="A20" s="1"/>
      <c r="B20" s="1"/>
      <c r="C20" s="1"/>
      <c r="D20" s="1"/>
      <c r="E20" s="1"/>
      <c r="F20" s="1"/>
      <c r="G20" s="1"/>
      <c r="H20" s="1"/>
      <c r="I20" s="1"/>
    </row>
    <row r="21" spans="1:9">
      <c r="A21" s="1"/>
      <c r="B21" s="1"/>
      <c r="C21" s="1"/>
      <c r="D21" s="1"/>
      <c r="E21" s="1"/>
      <c r="F21" s="1"/>
      <c r="G21" s="1"/>
      <c r="H21" s="1"/>
      <c r="I21" s="1"/>
    </row>
    <row r="22" spans="1:9">
      <c r="A22" s="1"/>
      <c r="B22" s="1"/>
      <c r="C22" s="1"/>
      <c r="D22" s="1"/>
      <c r="E22" s="1"/>
      <c r="F22" s="1"/>
      <c r="G22" s="1"/>
      <c r="H22" s="1"/>
      <c r="I22" s="1"/>
    </row>
    <row r="23" spans="1:9">
      <c r="A23" s="1" t="s">
        <v>186</v>
      </c>
      <c r="B23" s="1"/>
      <c r="C23" s="1"/>
      <c r="D23" s="1" t="s">
        <v>225</v>
      </c>
      <c r="E23" s="1"/>
      <c r="F23" s="1"/>
      <c r="G23" s="1"/>
      <c r="H23" s="1"/>
      <c r="I23" s="1"/>
    </row>
    <row r="24" spans="1:9">
      <c r="A24" s="1" t="s">
        <v>189</v>
      </c>
      <c r="B24" s="1"/>
      <c r="C24" s="1"/>
      <c r="D24" s="1"/>
      <c r="E24" s="1"/>
      <c r="F24" s="1"/>
      <c r="G24" s="1"/>
      <c r="H24" s="1"/>
      <c r="I24" s="1"/>
    </row>
    <row r="25" spans="1:9">
      <c r="A25" s="1" t="s">
        <v>228</v>
      </c>
      <c r="B25" s="1"/>
      <c r="C25" s="1"/>
      <c r="D25" s="1"/>
      <c r="E25" s="1"/>
      <c r="F25" s="1"/>
      <c r="G25" s="1"/>
      <c r="H25" s="1"/>
      <c r="I25" s="1"/>
    </row>
    <row r="26" spans="1:9">
      <c r="A26" s="1" t="s">
        <v>161</v>
      </c>
      <c r="B26" s="1"/>
      <c r="C26" s="1"/>
      <c r="D26" s="1"/>
      <c r="E26" s="1"/>
      <c r="F26" s="1"/>
      <c r="G26" s="1"/>
      <c r="H26" s="1"/>
      <c r="I26" s="1"/>
    </row>
    <row r="27" spans="1:9">
      <c r="A27" s="1" t="s">
        <v>192</v>
      </c>
      <c r="B27" s="1"/>
      <c r="C27" s="1"/>
      <c r="D27" s="1"/>
      <c r="E27" s="1"/>
      <c r="F27" s="1"/>
      <c r="G27" s="1"/>
      <c r="H27" s="1"/>
      <c r="I27" s="1"/>
    </row>
    <row r="28" spans="1:9">
      <c r="A28" s="1" t="s">
        <v>194</v>
      </c>
      <c r="B28" s="1"/>
      <c r="C28" s="1"/>
      <c r="D28" s="1"/>
      <c r="E28" s="1"/>
      <c r="F28" s="1"/>
      <c r="G28" s="1"/>
      <c r="H28" s="1"/>
      <c r="I28" s="1"/>
    </row>
    <row r="29" spans="1:9">
      <c r="A29" s="310" t="s">
        <v>196</v>
      </c>
      <c r="B29" s="310"/>
      <c r="C29" s="310"/>
      <c r="D29" s="310"/>
      <c r="E29" s="310"/>
      <c r="F29" s="310"/>
      <c r="G29" s="310"/>
      <c r="H29" s="310"/>
      <c r="I29" s="310"/>
    </row>
    <row r="30" spans="1:9">
      <c r="A30" t="s">
        <v>199</v>
      </c>
    </row>
    <row r="31" spans="1:9">
      <c r="A31" t="s">
        <v>218</v>
      </c>
    </row>
    <row r="32" spans="1:9">
      <c r="A32" t="s">
        <v>219</v>
      </c>
    </row>
    <row r="33" spans="1:1">
      <c r="A33" t="s">
        <v>224</v>
      </c>
    </row>
    <row r="34" spans="1:1">
      <c r="A34" t="s">
        <v>356</v>
      </c>
    </row>
  </sheetData>
  <mergeCells count="6">
    <mergeCell ref="A3:C3"/>
    <mergeCell ref="D3:L3"/>
    <mergeCell ref="M3:M4"/>
    <mergeCell ref="D14:D15"/>
    <mergeCell ref="E14:E15"/>
    <mergeCell ref="F14:F15"/>
  </mergeCells>
  <phoneticPr fontId="1"/>
  <pageMargins left="0.7" right="0.7" top="0.75" bottom="0.75" header="0.3" footer="0.3"/>
  <pageSetup paperSize="9" scale="80" fitToWidth="1" fitToHeight="0" orientation="landscape"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N31"/>
  <sheetViews>
    <sheetView view="pageBreakPreview" zoomScale="115" zoomScaleSheetLayoutView="115" workbookViewId="0">
      <selection activeCell="B5" sqref="B5"/>
    </sheetView>
  </sheetViews>
  <sheetFormatPr defaultRowHeight="13.5"/>
  <cols>
    <col min="1" max="3" width="8.25" customWidth="1"/>
    <col min="4" max="4" width="4.25" customWidth="1"/>
    <col min="5" max="5" width="18" customWidth="1"/>
    <col min="6" max="6" width="17.75" customWidth="1"/>
    <col min="9" max="9" width="18.125" customWidth="1"/>
    <col min="10" max="10" width="9.875" customWidth="1"/>
    <col min="11" max="11" width="10.75" customWidth="1"/>
    <col min="12" max="12" width="10.875" customWidth="1"/>
    <col min="13" max="13" width="11" customWidth="1"/>
    <col min="14" max="14" width="17.75" customWidth="1"/>
  </cols>
  <sheetData>
    <row r="1" spans="1:14">
      <c r="A1" s="36" t="s">
        <v>51</v>
      </c>
    </row>
    <row r="2" spans="1:14">
      <c r="A2" s="236" t="s">
        <v>514</v>
      </c>
      <c r="B2" s="327"/>
      <c r="C2" s="327"/>
      <c r="D2" s="313"/>
      <c r="E2" s="327"/>
      <c r="F2" s="327"/>
      <c r="G2" s="327"/>
      <c r="H2" s="327"/>
      <c r="I2" s="327"/>
      <c r="J2" s="327"/>
      <c r="K2" s="327"/>
      <c r="L2" s="327"/>
      <c r="M2" s="327"/>
      <c r="N2" s="327"/>
    </row>
    <row r="3" spans="1:14" ht="23.25" customHeight="1">
      <c r="A3" s="324" t="s">
        <v>362</v>
      </c>
      <c r="B3" s="328"/>
      <c r="C3" s="329"/>
      <c r="D3" s="324" t="s">
        <v>382</v>
      </c>
      <c r="E3" s="328"/>
      <c r="F3" s="328"/>
      <c r="G3" s="328"/>
      <c r="H3" s="328"/>
      <c r="I3" s="328"/>
      <c r="J3" s="328"/>
      <c r="K3" s="328"/>
      <c r="L3" s="328"/>
      <c r="M3" s="329"/>
      <c r="N3" s="339" t="s">
        <v>316</v>
      </c>
    </row>
    <row r="4" spans="1:14">
      <c r="A4" s="341" t="s">
        <v>364</v>
      </c>
      <c r="B4" s="341" t="s">
        <v>365</v>
      </c>
      <c r="C4" s="343" t="s">
        <v>367</v>
      </c>
      <c r="D4" s="325" t="s">
        <v>370</v>
      </c>
      <c r="E4" s="325" t="s">
        <v>383</v>
      </c>
      <c r="F4" s="325" t="s">
        <v>385</v>
      </c>
      <c r="G4" s="325" t="s">
        <v>386</v>
      </c>
      <c r="H4" s="325" t="s">
        <v>255</v>
      </c>
      <c r="I4" s="325" t="s">
        <v>129</v>
      </c>
      <c r="J4" s="325" t="s">
        <v>205</v>
      </c>
      <c r="K4" s="325" t="s">
        <v>375</v>
      </c>
      <c r="L4" s="325" t="s">
        <v>94</v>
      </c>
      <c r="M4" s="325" t="s">
        <v>388</v>
      </c>
      <c r="N4" s="340"/>
    </row>
    <row r="5" spans="1:14" ht="30.75" customHeight="1">
      <c r="A5" s="326"/>
      <c r="B5" s="326"/>
      <c r="C5" s="326"/>
      <c r="D5" s="326"/>
      <c r="E5" s="335"/>
      <c r="F5" s="335"/>
      <c r="G5" s="335"/>
      <c r="H5" s="335"/>
      <c r="I5" s="335"/>
      <c r="J5" s="335"/>
      <c r="K5" s="335"/>
      <c r="L5" s="335"/>
      <c r="M5" s="326"/>
      <c r="N5" s="326"/>
    </row>
    <row r="6" spans="1:14" ht="30.75" customHeight="1">
      <c r="A6" s="326"/>
      <c r="B6" s="326"/>
      <c r="C6" s="326"/>
      <c r="D6" s="326"/>
      <c r="E6" s="335"/>
      <c r="F6" s="335"/>
      <c r="G6" s="335"/>
      <c r="H6" s="335"/>
      <c r="I6" s="335"/>
      <c r="J6" s="335"/>
      <c r="K6" s="335"/>
      <c r="L6" s="335"/>
      <c r="M6" s="326"/>
      <c r="N6" s="326"/>
    </row>
    <row r="7" spans="1:14" ht="30.75" customHeight="1">
      <c r="A7" s="326"/>
      <c r="B7" s="326"/>
      <c r="C7" s="326"/>
      <c r="D7" s="326"/>
      <c r="E7" s="335"/>
      <c r="F7" s="335"/>
      <c r="G7" s="335"/>
      <c r="H7" s="335"/>
      <c r="I7" s="335"/>
      <c r="J7" s="335"/>
      <c r="K7" s="335"/>
      <c r="L7" s="335"/>
      <c r="M7" s="326"/>
      <c r="N7" s="326"/>
    </row>
    <row r="8" spans="1:14" ht="30.75" customHeight="1">
      <c r="A8" s="326"/>
      <c r="B8" s="326"/>
      <c r="C8" s="326"/>
      <c r="D8" s="326"/>
      <c r="E8" s="335"/>
      <c r="F8" s="335"/>
      <c r="G8" s="335"/>
      <c r="H8" s="335"/>
      <c r="I8" s="335"/>
      <c r="J8" s="335"/>
      <c r="K8" s="335"/>
      <c r="L8" s="335"/>
      <c r="M8" s="326"/>
      <c r="N8" s="326"/>
    </row>
    <row r="9" spans="1:14" ht="30.75" customHeight="1">
      <c r="A9" s="326"/>
      <c r="B9" s="326"/>
      <c r="C9" s="326"/>
      <c r="D9" s="326"/>
      <c r="E9" s="335"/>
      <c r="F9" s="335"/>
      <c r="G9" s="335"/>
      <c r="H9" s="335"/>
      <c r="I9" s="335"/>
      <c r="J9" s="335"/>
      <c r="K9" s="335"/>
      <c r="L9" s="335"/>
      <c r="M9" s="326"/>
      <c r="N9" s="326"/>
    </row>
    <row r="10" spans="1:14" ht="30.75" customHeight="1">
      <c r="A10" s="326"/>
      <c r="B10" s="326"/>
      <c r="C10" s="326"/>
      <c r="D10" s="326"/>
      <c r="E10" s="335"/>
      <c r="F10" s="335"/>
      <c r="G10" s="335"/>
      <c r="H10" s="335"/>
      <c r="I10" s="335"/>
      <c r="J10" s="335"/>
      <c r="K10" s="335"/>
      <c r="L10" s="335"/>
      <c r="M10" s="326"/>
      <c r="N10" s="326"/>
    </row>
    <row r="11" spans="1:14" ht="30.75" customHeight="1">
      <c r="A11" s="342"/>
      <c r="B11" s="342"/>
      <c r="C11" s="342"/>
      <c r="D11" s="342"/>
      <c r="E11" s="344"/>
      <c r="F11" s="344"/>
      <c r="G11" s="344"/>
      <c r="H11" s="344"/>
      <c r="I11" s="344"/>
      <c r="J11" s="344"/>
      <c r="K11" s="344"/>
      <c r="L11" s="344"/>
      <c r="M11" s="342"/>
      <c r="N11" s="342"/>
    </row>
    <row r="12" spans="1:14" ht="30.75" customHeight="1">
      <c r="A12" s="214"/>
      <c r="B12" s="326"/>
      <c r="C12" s="326"/>
      <c r="D12" s="214"/>
      <c r="E12" s="233"/>
      <c r="F12" s="233"/>
      <c r="G12" s="233"/>
      <c r="H12" s="233"/>
      <c r="I12" s="233"/>
      <c r="J12" s="233"/>
      <c r="K12" s="233"/>
      <c r="L12" s="233"/>
      <c r="M12" s="214"/>
      <c r="N12" s="214"/>
    </row>
    <row r="13" spans="1:14" ht="30.75" customHeight="1">
      <c r="A13" s="229"/>
      <c r="B13" s="229"/>
      <c r="C13" s="326"/>
      <c r="D13" s="68"/>
      <c r="E13" s="229"/>
      <c r="F13" s="228"/>
      <c r="G13" s="229"/>
      <c r="H13" s="229"/>
      <c r="I13" s="228"/>
      <c r="J13" s="32"/>
      <c r="K13" s="32"/>
      <c r="L13" s="32"/>
      <c r="M13" s="32"/>
      <c r="N13" s="32"/>
    </row>
    <row r="14" spans="1:14" ht="17.25">
      <c r="A14" s="2"/>
      <c r="B14" s="1"/>
      <c r="C14" s="1"/>
      <c r="D14" s="1"/>
      <c r="E14" s="1"/>
      <c r="F14" s="1"/>
      <c r="G14" s="1"/>
      <c r="H14" s="1"/>
      <c r="I14" s="1"/>
    </row>
    <row r="15" spans="1:14">
      <c r="A15" s="1"/>
      <c r="B15" s="1"/>
      <c r="C15" s="1"/>
      <c r="D15" s="1"/>
      <c r="E15" s="1"/>
      <c r="F15" s="1"/>
      <c r="G15" s="1"/>
      <c r="H15" s="1"/>
      <c r="I15" s="1"/>
    </row>
    <row r="16" spans="1:14">
      <c r="A16" s="1" t="s">
        <v>91</v>
      </c>
      <c r="B16" s="1"/>
      <c r="C16" s="1"/>
      <c r="D16" s="1"/>
      <c r="E16" s="1"/>
      <c r="F16" s="1" t="s">
        <v>515</v>
      </c>
      <c r="G16" s="1"/>
      <c r="H16" s="1"/>
      <c r="I16" s="1"/>
      <c r="J16" t="s">
        <v>280</v>
      </c>
    </row>
    <row r="17" spans="1:10">
      <c r="A17" s="1" t="s">
        <v>230</v>
      </c>
      <c r="B17" s="1"/>
      <c r="C17" s="1"/>
      <c r="D17" s="1"/>
      <c r="E17" s="1"/>
      <c r="F17" s="1" t="s">
        <v>517</v>
      </c>
      <c r="G17" s="1"/>
      <c r="H17" s="1"/>
      <c r="I17" s="1"/>
      <c r="J17" t="s">
        <v>245</v>
      </c>
    </row>
    <row r="18" spans="1:10">
      <c r="A18" s="1" t="s">
        <v>234</v>
      </c>
      <c r="B18" s="1"/>
      <c r="C18" s="1"/>
      <c r="D18" s="1"/>
      <c r="E18" s="1"/>
      <c r="F18" s="1" t="s">
        <v>241</v>
      </c>
      <c r="G18" s="1"/>
      <c r="H18" s="1"/>
      <c r="I18" s="1"/>
      <c r="J18" t="s">
        <v>358</v>
      </c>
    </row>
    <row r="19" spans="1:10">
      <c r="A19" s="1" t="s">
        <v>236</v>
      </c>
      <c r="B19" s="1"/>
      <c r="C19" s="1"/>
      <c r="D19" s="1"/>
      <c r="E19" s="1"/>
      <c r="F19" s="1" t="s">
        <v>516</v>
      </c>
      <c r="G19" s="1"/>
      <c r="H19" s="1"/>
      <c r="I19" s="1"/>
      <c r="J19" t="s">
        <v>359</v>
      </c>
    </row>
    <row r="20" spans="1:10">
      <c r="A20" s="1" t="s">
        <v>239</v>
      </c>
      <c r="B20" s="1"/>
      <c r="C20" s="1"/>
      <c r="D20" s="1"/>
      <c r="E20" s="1"/>
      <c r="F20" s="1" t="s">
        <v>121</v>
      </c>
      <c r="G20" s="1"/>
      <c r="H20" s="1"/>
      <c r="I20" s="1"/>
      <c r="J20" t="s">
        <v>84</v>
      </c>
    </row>
    <row r="21" spans="1:10">
      <c r="A21" s="1" t="s">
        <v>241</v>
      </c>
      <c r="B21" s="1"/>
      <c r="C21" s="1"/>
      <c r="D21" s="1"/>
      <c r="E21" s="1"/>
      <c r="F21" s="1" t="s">
        <v>223</v>
      </c>
      <c r="G21" s="1"/>
      <c r="H21" s="1"/>
      <c r="I21" s="1"/>
      <c r="J21" t="s">
        <v>427</v>
      </c>
    </row>
    <row r="22" spans="1:10">
      <c r="A22" s="1" t="s">
        <v>243</v>
      </c>
      <c r="B22" s="1"/>
      <c r="C22" s="1"/>
      <c r="D22" s="1"/>
      <c r="E22" s="1"/>
      <c r="F22" s="1" t="s">
        <v>518</v>
      </c>
      <c r="G22" s="1"/>
      <c r="H22" s="1"/>
      <c r="I22" s="1"/>
      <c r="J22" t="s">
        <v>263</v>
      </c>
    </row>
    <row r="23" spans="1:10">
      <c r="A23" s="1" t="s">
        <v>248</v>
      </c>
      <c r="B23" s="1"/>
      <c r="C23" s="1"/>
      <c r="D23" s="1"/>
      <c r="E23" s="1"/>
      <c r="F23" s="1" t="s">
        <v>239</v>
      </c>
      <c r="G23" s="1"/>
      <c r="H23" s="1"/>
      <c r="I23" s="1"/>
    </row>
    <row r="24" spans="1:10">
      <c r="A24" s="1" t="s">
        <v>245</v>
      </c>
      <c r="B24" s="1"/>
      <c r="C24" s="1"/>
      <c r="D24" s="1"/>
      <c r="E24" s="1"/>
      <c r="F24" s="1" t="s">
        <v>234</v>
      </c>
      <c r="G24" s="1"/>
      <c r="H24" s="1"/>
      <c r="I24" s="1"/>
    </row>
    <row r="25" spans="1:10">
      <c r="A25" s="1" t="s">
        <v>247</v>
      </c>
      <c r="B25" s="1"/>
      <c r="C25" s="1"/>
      <c r="D25" s="1"/>
      <c r="E25" s="1"/>
      <c r="F25" s="1" t="s">
        <v>389</v>
      </c>
      <c r="G25" s="1"/>
      <c r="H25" s="1"/>
      <c r="I25" s="1"/>
    </row>
    <row r="26" spans="1:10">
      <c r="A26" s="1" t="s">
        <v>224</v>
      </c>
      <c r="B26" s="1"/>
      <c r="C26" s="1"/>
      <c r="D26" s="1"/>
      <c r="E26" s="1"/>
      <c r="F26" s="1" t="s">
        <v>175</v>
      </c>
      <c r="G26" s="1"/>
      <c r="H26" s="1"/>
      <c r="I26" s="1"/>
    </row>
    <row r="27" spans="1:10">
      <c r="A27" s="1" t="s">
        <v>35</v>
      </c>
      <c r="B27" s="1"/>
      <c r="C27" s="1"/>
      <c r="D27" s="1"/>
      <c r="E27" s="1"/>
      <c r="F27" s="1" t="s">
        <v>281</v>
      </c>
      <c r="G27" s="1"/>
      <c r="H27" s="1"/>
      <c r="I27" s="1"/>
    </row>
    <row r="28" spans="1:10">
      <c r="A28" s="1"/>
      <c r="B28" s="1"/>
      <c r="C28" s="1"/>
      <c r="D28" s="1"/>
      <c r="E28" s="1"/>
      <c r="F28" s="1" t="s">
        <v>285</v>
      </c>
      <c r="G28" s="1"/>
      <c r="H28" s="1"/>
      <c r="I28" s="1"/>
    </row>
    <row r="29" spans="1:10">
      <c r="A29" s="310"/>
      <c r="B29" s="310"/>
      <c r="C29" s="310"/>
      <c r="D29" s="310"/>
      <c r="E29" s="310"/>
      <c r="F29" s="310" t="s">
        <v>206</v>
      </c>
      <c r="G29" s="310"/>
      <c r="H29" s="310"/>
      <c r="I29" s="310"/>
    </row>
    <row r="30" spans="1:10">
      <c r="F30" t="s">
        <v>519</v>
      </c>
    </row>
    <row r="31" spans="1:10">
      <c r="F31" t="s">
        <v>20</v>
      </c>
    </row>
  </sheetData>
  <mergeCells count="3">
    <mergeCell ref="A3:C3"/>
    <mergeCell ref="D3:M3"/>
    <mergeCell ref="N3:N4"/>
  </mergeCells>
  <phoneticPr fontId="1"/>
  <pageMargins left="0.7" right="0.7" top="0.75" bottom="0.75" header="0.3" footer="0.3"/>
  <pageSetup paperSize="9" scale="83" fitToWidth="1" fitToHeight="1" orientation="landscape"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I34"/>
  <sheetViews>
    <sheetView showGridLines="0" view="pageBreakPreview" zoomScale="85" zoomScaleNormal="85" zoomScaleSheetLayoutView="85" workbookViewId="0">
      <selection activeCell="B7" sqref="B7"/>
    </sheetView>
  </sheetViews>
  <sheetFormatPr defaultRowHeight="13.5"/>
  <cols>
    <col min="1" max="1" width="27.625" style="323" customWidth="1"/>
    <col min="2" max="4" width="42.125" style="323" customWidth="1"/>
    <col min="5" max="16384" width="9" style="323" customWidth="1"/>
  </cols>
  <sheetData>
    <row r="1" spans="1:4">
      <c r="A1" s="345" t="s">
        <v>240</v>
      </c>
    </row>
    <row r="2" spans="1:4" ht="19.5" customHeight="1">
      <c r="A2" s="345" t="s">
        <v>44</v>
      </c>
      <c r="D2" s="345" t="s">
        <v>478</v>
      </c>
    </row>
    <row r="3" spans="1:4" ht="24" customHeight="1">
      <c r="A3" s="346" t="s">
        <v>244</v>
      </c>
      <c r="B3" s="346" t="s">
        <v>350</v>
      </c>
      <c r="C3" s="346" t="s">
        <v>38</v>
      </c>
      <c r="D3" s="346" t="s">
        <v>479</v>
      </c>
    </row>
    <row r="4" spans="1:4" ht="51.75" customHeight="1">
      <c r="A4" s="347" t="s">
        <v>52</v>
      </c>
      <c r="B4" s="347"/>
      <c r="C4" s="348"/>
      <c r="D4" s="348"/>
    </row>
    <row r="5" spans="1:4" ht="47.25" customHeight="1">
      <c r="A5" s="347" t="s">
        <v>505</v>
      </c>
      <c r="B5" s="348"/>
      <c r="C5" s="348"/>
      <c r="D5" s="348"/>
    </row>
    <row r="6" spans="1:4" ht="50.25" customHeight="1">
      <c r="A6" s="347" t="s">
        <v>484</v>
      </c>
      <c r="B6" s="348"/>
      <c r="C6" s="348"/>
      <c r="D6" s="348"/>
    </row>
    <row r="7" spans="1:4" ht="47.25" customHeight="1">
      <c r="A7" s="348" t="s">
        <v>97</v>
      </c>
      <c r="B7" s="348"/>
      <c r="C7" s="348"/>
      <c r="D7" s="348"/>
    </row>
    <row r="8" spans="1:4" ht="47.25" customHeight="1">
      <c r="A8" s="347" t="s">
        <v>480</v>
      </c>
      <c r="B8" s="348"/>
      <c r="C8" s="348"/>
      <c r="D8" s="348"/>
    </row>
    <row r="9" spans="1:4" ht="47.25" customHeight="1">
      <c r="A9" s="347" t="s">
        <v>416</v>
      </c>
      <c r="B9" s="348"/>
      <c r="C9" s="348"/>
      <c r="D9" s="348"/>
    </row>
    <row r="10" spans="1:4" ht="47.25" customHeight="1">
      <c r="A10" s="347" t="s">
        <v>488</v>
      </c>
      <c r="B10" s="348"/>
      <c r="C10" s="348"/>
      <c r="D10" s="348"/>
    </row>
    <row r="11" spans="1:4" ht="47.25" customHeight="1">
      <c r="A11" s="347" t="s">
        <v>489</v>
      </c>
      <c r="B11" s="348"/>
      <c r="C11" s="348"/>
      <c r="D11" s="348"/>
    </row>
    <row r="12" spans="1:4" ht="66.75" customHeight="1">
      <c r="A12" s="347" t="s">
        <v>260</v>
      </c>
      <c r="B12" s="348"/>
      <c r="C12" s="348"/>
      <c r="D12" s="348"/>
    </row>
    <row r="13" spans="1:4" ht="76.5" customHeight="1">
      <c r="A13" s="349" t="s">
        <v>577</v>
      </c>
      <c r="B13" s="352"/>
      <c r="C13" s="354"/>
      <c r="D13" s="355" t="s">
        <v>49</v>
      </c>
    </row>
    <row r="14" spans="1:4" ht="24" customHeight="1">
      <c r="A14" s="350"/>
      <c r="B14" s="353" t="s">
        <v>393</v>
      </c>
      <c r="C14" s="350"/>
      <c r="D14" s="350"/>
    </row>
    <row r="15" spans="1:4">
      <c r="A15" s="323" t="s">
        <v>251</v>
      </c>
      <c r="D15" s="323" t="s">
        <v>482</v>
      </c>
    </row>
    <row r="16" spans="1:4">
      <c r="B16" s="323" t="s">
        <v>278</v>
      </c>
    </row>
    <row r="17" spans="1:9">
      <c r="D17" s="323" t="s">
        <v>272</v>
      </c>
    </row>
    <row r="18" spans="1:9">
      <c r="B18" s="323" t="s">
        <v>279</v>
      </c>
    </row>
    <row r="19" spans="1:9">
      <c r="D19" s="323" t="s">
        <v>274</v>
      </c>
    </row>
    <row r="20" spans="1:9">
      <c r="B20" s="323" t="s">
        <v>197</v>
      </c>
    </row>
    <row r="21" spans="1:9">
      <c r="D21" s="323" t="s">
        <v>254</v>
      </c>
    </row>
    <row r="22" spans="1:9">
      <c r="B22" s="323" t="s">
        <v>253</v>
      </c>
    </row>
    <row r="23" spans="1:9">
      <c r="D23" s="323" t="s">
        <v>276</v>
      </c>
    </row>
    <row r="24" spans="1:9">
      <c r="B24" s="323" t="s">
        <v>256</v>
      </c>
      <c r="D24" s="323" t="s">
        <v>259</v>
      </c>
    </row>
    <row r="25" spans="1:9">
      <c r="D25" s="323" t="s">
        <v>264</v>
      </c>
    </row>
    <row r="26" spans="1:9">
      <c r="B26" s="323" t="s">
        <v>258</v>
      </c>
      <c r="D26" s="323" t="s">
        <v>266</v>
      </c>
    </row>
    <row r="28" spans="1:9">
      <c r="B28" s="323" t="s">
        <v>53</v>
      </c>
      <c r="D28" s="323" t="s">
        <v>249</v>
      </c>
    </row>
    <row r="29" spans="1:9">
      <c r="A29" s="351"/>
      <c r="B29" s="351"/>
      <c r="C29" s="351"/>
      <c r="D29" s="351"/>
      <c r="E29" s="351"/>
      <c r="F29" s="351"/>
      <c r="G29" s="351"/>
      <c r="H29" s="351"/>
      <c r="I29" s="351"/>
    </row>
    <row r="30" spans="1:9">
      <c r="B30" s="323" t="s">
        <v>242</v>
      </c>
      <c r="D30" s="323" t="s">
        <v>270</v>
      </c>
    </row>
    <row r="32" spans="1:9">
      <c r="D32" s="323" t="s">
        <v>267</v>
      </c>
    </row>
    <row r="34" spans="4:4">
      <c r="D34" s="323" t="s">
        <v>269</v>
      </c>
    </row>
  </sheetData>
  <mergeCells count="1">
    <mergeCell ref="A13:C13"/>
  </mergeCells>
  <phoneticPr fontId="1"/>
  <pageMargins left="0.70866141732283472" right="0.11811023622047245" top="0.74803149606299213" bottom="0.35433070866141736" header="0" footer="0"/>
  <pageSetup paperSize="9" scale="91" fitToWidth="1" fitToHeight="1" orientation="landscape"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codeName="Sheet10"/>
  <dimension ref="A1:IV12"/>
  <sheetViews>
    <sheetView workbookViewId="0">
      <selection activeCell="EQ12" sqref="EQ12"/>
    </sheetView>
  </sheetViews>
  <sheetFormatPr defaultRowHeight="13.5"/>
  <sheetData>
    <row r="1" spans="1:256">
      <c r="A1" t="e">
        <f>IF(#REF!,"AAAAAD6cbQA=",0)</f>
        <v>#REF!</v>
      </c>
      <c r="B1" t="e">
        <f>AND(#REF!,"AAAAAD6cbQE=")</f>
        <v>#REF!</v>
      </c>
      <c r="C1" t="e">
        <f>AND(#REF!,"AAAAAD6cbQI=")</f>
        <v>#REF!</v>
      </c>
      <c r="D1" t="e">
        <f>AND(#REF!,"AAAAAD6cbQM=")</f>
        <v>#REF!</v>
      </c>
      <c r="E1" t="e">
        <f>AND(#REF!,"AAAAAD6cbQQ=")</f>
        <v>#REF!</v>
      </c>
      <c r="F1" t="e">
        <f>AND(#REF!,"AAAAAD6cbQU=")</f>
        <v>#REF!</v>
      </c>
      <c r="G1" t="e">
        <f>AND(#REF!,"AAAAAD6cbQY=")</f>
        <v>#REF!</v>
      </c>
      <c r="H1" t="e">
        <f>AND(#REF!,"AAAAAD6cbQc=")</f>
        <v>#REF!</v>
      </c>
      <c r="I1" t="e">
        <f>AND(#REF!,"AAAAAD6cbQg=")</f>
        <v>#REF!</v>
      </c>
      <c r="J1" t="e">
        <f>AND(#REF!,"AAAAAD6cbQk=")</f>
        <v>#REF!</v>
      </c>
      <c r="K1" t="e">
        <f>AND(#REF!,"AAAAAD6cbQo=")</f>
        <v>#REF!</v>
      </c>
      <c r="L1" t="e">
        <f>AND(#REF!,"AAAAAD6cbQs=")</f>
        <v>#REF!</v>
      </c>
      <c r="M1" t="e">
        <f>IF(#REF!,"AAAAAD6cbQw=",0)</f>
        <v>#REF!</v>
      </c>
      <c r="N1" t="e">
        <f>AND(#REF!,"AAAAAD6cbQ0=")</f>
        <v>#REF!</v>
      </c>
      <c r="O1" t="e">
        <f>AND(#REF!,"AAAAAD6cbQ4=")</f>
        <v>#REF!</v>
      </c>
      <c r="P1" t="e">
        <f>AND(#REF!,"AAAAAD6cbQ8=")</f>
        <v>#REF!</v>
      </c>
      <c r="Q1" t="e">
        <f>AND(#REF!,"AAAAAD6cbRA=")</f>
        <v>#REF!</v>
      </c>
      <c r="R1" t="e">
        <f>AND(#REF!,"AAAAAD6cbRE=")</f>
        <v>#REF!</v>
      </c>
      <c r="S1" t="e">
        <f>AND(#REF!,"AAAAAD6cbRI=")</f>
        <v>#REF!</v>
      </c>
      <c r="T1" t="e">
        <f>AND(#REF!,"AAAAAD6cbRM=")</f>
        <v>#REF!</v>
      </c>
      <c r="U1" t="e">
        <f>AND(#REF!,"AAAAAD6cbRQ=")</f>
        <v>#REF!</v>
      </c>
      <c r="V1" t="e">
        <f>AND(#REF!,"AAAAAD6cbRU=")</f>
        <v>#REF!</v>
      </c>
      <c r="W1" t="e">
        <f>AND(#REF!,"AAAAAD6cbRY=")</f>
        <v>#REF!</v>
      </c>
      <c r="X1" t="e">
        <f>AND(#REF!,"AAAAAD6cbRc=")</f>
        <v>#REF!</v>
      </c>
      <c r="Y1" t="e">
        <f>IF(#REF!,"AAAAAD6cbRg=",0)</f>
        <v>#REF!</v>
      </c>
      <c r="Z1" t="e">
        <f>AND(#REF!,"AAAAAD6cbRk=")</f>
        <v>#REF!</v>
      </c>
      <c r="AA1" t="e">
        <f>AND(#REF!,"AAAAAD6cbRo=")</f>
        <v>#REF!</v>
      </c>
      <c r="AB1" t="e">
        <f>AND(#REF!,"AAAAAD6cbRs=")</f>
        <v>#REF!</v>
      </c>
      <c r="AC1" t="e">
        <f>AND(#REF!,"AAAAAD6cbRw=")</f>
        <v>#REF!</v>
      </c>
      <c r="AD1" t="e">
        <f>AND(#REF!,"AAAAAD6cbR0=")</f>
        <v>#REF!</v>
      </c>
      <c r="AE1" t="e">
        <f>AND(#REF!,"AAAAAD6cbR4=")</f>
        <v>#REF!</v>
      </c>
      <c r="AF1" t="e">
        <f>AND(#REF!,"AAAAAD6cbR8=")</f>
        <v>#REF!</v>
      </c>
      <c r="AG1" t="e">
        <f>AND(#REF!,"AAAAAD6cbSA=")</f>
        <v>#REF!</v>
      </c>
      <c r="AH1" t="e">
        <f>AND(#REF!,"AAAAAD6cbSE=")</f>
        <v>#REF!</v>
      </c>
      <c r="AI1" t="e">
        <f>AND(#REF!,"AAAAAD6cbSI=")</f>
        <v>#REF!</v>
      </c>
      <c r="AJ1" t="e">
        <f>AND(#REF!,"AAAAAD6cbSM=")</f>
        <v>#REF!</v>
      </c>
      <c r="AK1" t="e">
        <f>IF(#REF!,"AAAAAD6cbSQ=",0)</f>
        <v>#REF!</v>
      </c>
      <c r="AL1" t="e">
        <f>AND(#REF!,"AAAAAD6cbSU=")</f>
        <v>#REF!</v>
      </c>
      <c r="AM1" t="e">
        <f>AND(#REF!,"AAAAAD6cbSY=")</f>
        <v>#REF!</v>
      </c>
      <c r="AN1" t="e">
        <f>AND(#REF!,"AAAAAD6cbSc=")</f>
        <v>#REF!</v>
      </c>
      <c r="AO1" t="e">
        <f>AND(#REF!,"AAAAAD6cbSg=")</f>
        <v>#REF!</v>
      </c>
      <c r="AP1" t="e">
        <f>AND(#REF!,"AAAAAD6cbSk=")</f>
        <v>#REF!</v>
      </c>
      <c r="AQ1" t="e">
        <f>AND(#REF!,"AAAAAD6cbSo=")</f>
        <v>#REF!</v>
      </c>
      <c r="AR1" t="e">
        <f>AND(#REF!,"AAAAAD6cbSs=")</f>
        <v>#REF!</v>
      </c>
      <c r="AS1" t="e">
        <f>AND(#REF!,"AAAAAD6cbSw=")</f>
        <v>#REF!</v>
      </c>
      <c r="AT1" t="e">
        <f>AND(#REF!,"AAAAAD6cbS0=")</f>
        <v>#REF!</v>
      </c>
      <c r="AU1" t="e">
        <f>AND(#REF!,"AAAAAD6cbS4=")</f>
        <v>#REF!</v>
      </c>
      <c r="AV1" t="e">
        <f>AND(#REF!,"AAAAAD6cbS8=")</f>
        <v>#REF!</v>
      </c>
      <c r="AW1" t="e">
        <f>IF(#REF!,"AAAAAD6cbTA=",0)</f>
        <v>#REF!</v>
      </c>
      <c r="AX1" t="e">
        <f>AND(#REF!,"AAAAAD6cbTE=")</f>
        <v>#REF!</v>
      </c>
      <c r="AY1" t="e">
        <f>AND(#REF!,"AAAAAD6cbTI=")</f>
        <v>#REF!</v>
      </c>
      <c r="AZ1" t="e">
        <f>AND(#REF!,"AAAAAD6cbTM=")</f>
        <v>#REF!</v>
      </c>
      <c r="BA1" t="e">
        <f>AND(#REF!,"AAAAAD6cbTQ=")</f>
        <v>#REF!</v>
      </c>
      <c r="BB1" t="e">
        <f>AND(#REF!,"AAAAAD6cbTU=")</f>
        <v>#REF!</v>
      </c>
      <c r="BC1" t="e">
        <f>AND(#REF!,"AAAAAD6cbTY=")</f>
        <v>#REF!</v>
      </c>
      <c r="BD1" t="e">
        <f>AND(#REF!,"AAAAAD6cbTc=")</f>
        <v>#REF!</v>
      </c>
      <c r="BE1" t="e">
        <f>AND(#REF!,"AAAAAD6cbTg=")</f>
        <v>#REF!</v>
      </c>
      <c r="BF1" t="e">
        <f>AND(#REF!,"AAAAAD6cbTk=")</f>
        <v>#REF!</v>
      </c>
      <c r="BG1" t="e">
        <f>AND(#REF!,"AAAAAD6cbTo=")</f>
        <v>#REF!</v>
      </c>
      <c r="BH1" t="e">
        <f>AND(#REF!,"AAAAAD6cbTs=")</f>
        <v>#REF!</v>
      </c>
      <c r="BI1" t="e">
        <f>IF(#REF!,"AAAAAD6cbTw=",0)</f>
        <v>#REF!</v>
      </c>
      <c r="BJ1" t="e">
        <f>IF(#REF!,"AAAAAD6cbT0=",0)</f>
        <v>#REF!</v>
      </c>
      <c r="BK1" t="e">
        <f>IF(#REF!,"AAAAAD6cbT4=",0)</f>
        <v>#REF!</v>
      </c>
      <c r="BL1" t="e">
        <f>IF(#REF!,"AAAAAD6cbT8=",0)</f>
        <v>#REF!</v>
      </c>
      <c r="BM1" t="e">
        <f>IF(#REF!,"AAAAAD6cbUA=",0)</f>
        <v>#REF!</v>
      </c>
      <c r="BN1" t="e">
        <f>IF(#REF!,"AAAAAD6cbUE=",0)</f>
        <v>#REF!</v>
      </c>
      <c r="BO1" t="e">
        <f>IF(#REF!,"AAAAAD6cbUI=",0)</f>
        <v>#REF!</v>
      </c>
      <c r="BP1" t="e">
        <f>IF(#REF!,"AAAAAD6cbUM=",0)</f>
        <v>#REF!</v>
      </c>
      <c r="BQ1" t="e">
        <f>IF(#REF!,"AAAAAD6cbUQ=",0)</f>
        <v>#REF!</v>
      </c>
      <c r="BR1" t="e">
        <f>IF(#REF!,"AAAAAD6cbUU=",0)</f>
        <v>#REF!</v>
      </c>
      <c r="BS1" t="e">
        <f>IF(#REF!,"AAAAAD6cbUY=",0)</f>
        <v>#REF!</v>
      </c>
      <c r="BT1" t="e">
        <f>IF(#REF!,"AAAAAD6cbUc=",0)</f>
        <v>#REF!</v>
      </c>
      <c r="BU1" t="e">
        <f>AND(#REF!,"AAAAAD6cbUg=")</f>
        <v>#REF!</v>
      </c>
      <c r="BV1" t="e">
        <f>AND(#REF!,"AAAAAD6cbUk=")</f>
        <v>#REF!</v>
      </c>
      <c r="BW1" t="e">
        <f>AND(#REF!,"AAAAAD6cbUo=")</f>
        <v>#REF!</v>
      </c>
      <c r="BX1" t="e">
        <f>AND(#REF!,"AAAAAD6cbUs=")</f>
        <v>#REF!</v>
      </c>
      <c r="BY1" t="e">
        <f>AND(#REF!,"AAAAAD6cbUw=")</f>
        <v>#REF!</v>
      </c>
      <c r="BZ1" t="e">
        <f>AND(#REF!,"AAAAAD6cbU0=")</f>
        <v>#REF!</v>
      </c>
      <c r="CA1" t="e">
        <f>AND(#REF!,"AAAAAD6cbU4=")</f>
        <v>#REF!</v>
      </c>
      <c r="CB1" t="e">
        <f>AND(#REF!,"AAAAAD6cbU8=")</f>
        <v>#REF!</v>
      </c>
      <c r="CC1" t="e">
        <f>AND(#REF!,"AAAAAD6cbVA=")</f>
        <v>#REF!</v>
      </c>
      <c r="CD1" t="e">
        <f>IF(#REF!,"AAAAAD6cbVE=",0)</f>
        <v>#REF!</v>
      </c>
      <c r="CE1" t="e">
        <f>AND(#REF!,"AAAAAD6cbVI=")</f>
        <v>#REF!</v>
      </c>
      <c r="CF1" t="e">
        <f>AND(#REF!,"AAAAAD6cbVM=")</f>
        <v>#REF!</v>
      </c>
      <c r="CG1" t="e">
        <f>AND(#REF!,"AAAAAD6cbVQ=")</f>
        <v>#REF!</v>
      </c>
      <c r="CH1" t="e">
        <f>AND(#REF!,"AAAAAD6cbVU=")</f>
        <v>#REF!</v>
      </c>
      <c r="CI1" t="e">
        <f>AND(#REF!,"AAAAAD6cbVY=")</f>
        <v>#REF!</v>
      </c>
      <c r="CJ1" t="e">
        <f>AND(#REF!,"AAAAAD6cbVc=")</f>
        <v>#REF!</v>
      </c>
      <c r="CK1" t="e">
        <f>AND(#REF!,"AAAAAD6cbVg=")</f>
        <v>#REF!</v>
      </c>
      <c r="CL1" t="e">
        <f>AND(#REF!,"AAAAAD6cbVk=")</f>
        <v>#REF!</v>
      </c>
      <c r="CM1" t="e">
        <f>AND(#REF!,"AAAAAD6cbVo=")</f>
        <v>#REF!</v>
      </c>
      <c r="CN1" t="e">
        <f>IF(#REF!,"AAAAAD6cbVs=",0)</f>
        <v>#REF!</v>
      </c>
      <c r="CO1" t="e">
        <f>AND(#REF!,"AAAAAD6cbVw=")</f>
        <v>#REF!</v>
      </c>
      <c r="CP1" t="e">
        <f>AND(#REF!,"AAAAAD6cbV0=")</f>
        <v>#REF!</v>
      </c>
      <c r="CQ1" t="e">
        <f>AND(#REF!,"AAAAAD6cbV4=")</f>
        <v>#REF!</v>
      </c>
      <c r="CR1" t="e">
        <f>AND(#REF!,"AAAAAD6cbV8=")</f>
        <v>#REF!</v>
      </c>
      <c r="CS1" t="e">
        <f>AND(#REF!,"AAAAAD6cbWA=")</f>
        <v>#REF!</v>
      </c>
      <c r="CT1" t="e">
        <f>AND(#REF!,"AAAAAD6cbWE=")</f>
        <v>#REF!</v>
      </c>
      <c r="CU1" t="e">
        <f>AND(#REF!,"AAAAAD6cbWI=")</f>
        <v>#REF!</v>
      </c>
      <c r="CV1" t="e">
        <f>AND(#REF!,"AAAAAD6cbWM=")</f>
        <v>#REF!</v>
      </c>
      <c r="CW1" t="e">
        <f>AND(#REF!,"AAAAAD6cbWQ=")</f>
        <v>#REF!</v>
      </c>
      <c r="CX1" t="e">
        <f>IF(#REF!,"AAAAAD6cbWU=",0)</f>
        <v>#REF!</v>
      </c>
      <c r="CY1" t="e">
        <f>AND(#REF!,"AAAAAD6cbWY=")</f>
        <v>#REF!</v>
      </c>
      <c r="CZ1" t="e">
        <f>AND(#REF!,"AAAAAD6cbWc=")</f>
        <v>#REF!</v>
      </c>
      <c r="DA1" t="e">
        <f>AND(#REF!,"AAAAAD6cbWg=")</f>
        <v>#REF!</v>
      </c>
      <c r="DB1" t="e">
        <f>AND(#REF!,"AAAAAD6cbWk=")</f>
        <v>#REF!</v>
      </c>
      <c r="DC1" t="e">
        <f>AND(#REF!,"AAAAAD6cbWo=")</f>
        <v>#REF!</v>
      </c>
      <c r="DD1" t="e">
        <f>AND(#REF!,"AAAAAD6cbWs=")</f>
        <v>#REF!</v>
      </c>
      <c r="DE1" t="e">
        <f>AND(#REF!,"AAAAAD6cbWw=")</f>
        <v>#REF!</v>
      </c>
      <c r="DF1" t="e">
        <f>AND(#REF!,"AAAAAD6cbW0=")</f>
        <v>#REF!</v>
      </c>
      <c r="DG1" t="e">
        <f>AND(#REF!,"AAAAAD6cbW4=")</f>
        <v>#REF!</v>
      </c>
      <c r="DH1" t="e">
        <f>IF(#REF!,"AAAAAD6cbW8=",0)</f>
        <v>#REF!</v>
      </c>
      <c r="DI1" t="e">
        <f>AND(#REF!,"AAAAAD6cbXA=")</f>
        <v>#REF!</v>
      </c>
      <c r="DJ1" t="e">
        <f>AND(#REF!,"AAAAAD6cbXE=")</f>
        <v>#REF!</v>
      </c>
      <c r="DK1" t="e">
        <f>AND(#REF!,"AAAAAD6cbXI=")</f>
        <v>#REF!</v>
      </c>
      <c r="DL1" t="e">
        <f>AND(#REF!,"AAAAAD6cbXM=")</f>
        <v>#REF!</v>
      </c>
      <c r="DM1" t="e">
        <f>AND(#REF!,"AAAAAD6cbXQ=")</f>
        <v>#REF!</v>
      </c>
      <c r="DN1" t="e">
        <f>AND(#REF!,"AAAAAD6cbXU=")</f>
        <v>#REF!</v>
      </c>
      <c r="DO1" t="e">
        <f>AND(#REF!,"AAAAAD6cbXY=")</f>
        <v>#REF!</v>
      </c>
      <c r="DP1" t="e">
        <f>AND(#REF!,"AAAAAD6cbXc=")</f>
        <v>#REF!</v>
      </c>
      <c r="DQ1" t="e">
        <f>AND(#REF!,"AAAAAD6cbXg=")</f>
        <v>#REF!</v>
      </c>
      <c r="DR1" t="e">
        <f>IF(#REF!,"AAAAAD6cbXk=",0)</f>
        <v>#REF!</v>
      </c>
      <c r="DS1" t="e">
        <f>AND(#REF!,"AAAAAD6cbXo=")</f>
        <v>#REF!</v>
      </c>
      <c r="DT1" t="e">
        <f>AND(#REF!,"AAAAAD6cbXs=")</f>
        <v>#REF!</v>
      </c>
      <c r="DU1" t="e">
        <f>AND(#REF!,"AAAAAD6cbXw=")</f>
        <v>#REF!</v>
      </c>
      <c r="DV1" t="e">
        <f>AND(#REF!,"AAAAAD6cbX0=")</f>
        <v>#REF!</v>
      </c>
      <c r="DW1" t="e">
        <f>AND(#REF!,"AAAAAD6cbX4=")</f>
        <v>#REF!</v>
      </c>
      <c r="DX1" t="e">
        <f>AND(#REF!,"AAAAAD6cbX8=")</f>
        <v>#REF!</v>
      </c>
      <c r="DY1" t="e">
        <f>AND(#REF!,"AAAAAD6cbYA=")</f>
        <v>#REF!</v>
      </c>
      <c r="DZ1" t="e">
        <f>AND(#REF!,"AAAAAD6cbYE=")</f>
        <v>#REF!</v>
      </c>
      <c r="EA1" t="e">
        <f>AND(#REF!,"AAAAAD6cbYI=")</f>
        <v>#REF!</v>
      </c>
      <c r="EB1" t="e">
        <f>IF(#REF!,"AAAAAD6cbYM=",0)</f>
        <v>#REF!</v>
      </c>
      <c r="EC1" t="e">
        <f>AND(#REF!,"AAAAAD6cbYQ=")</f>
        <v>#REF!</v>
      </c>
      <c r="ED1" t="e">
        <f>AND(#REF!,"AAAAAD6cbYU=")</f>
        <v>#REF!</v>
      </c>
      <c r="EE1" t="e">
        <f>AND(#REF!,"AAAAAD6cbYY=")</f>
        <v>#REF!</v>
      </c>
      <c r="EF1" t="e">
        <f>AND(#REF!,"AAAAAD6cbYc=")</f>
        <v>#REF!</v>
      </c>
      <c r="EG1" t="e">
        <f>AND(#REF!,"AAAAAD6cbYg=")</f>
        <v>#REF!</v>
      </c>
      <c r="EH1" t="e">
        <f>AND(#REF!,"AAAAAD6cbYk=")</f>
        <v>#REF!</v>
      </c>
      <c r="EI1" t="e">
        <f>AND(#REF!,"AAAAAD6cbYo=")</f>
        <v>#REF!</v>
      </c>
      <c r="EJ1" t="e">
        <f>AND(#REF!,"AAAAAD6cbYs=")</f>
        <v>#REF!</v>
      </c>
      <c r="EK1" t="e">
        <f>AND(#REF!,"AAAAAD6cbYw=")</f>
        <v>#REF!</v>
      </c>
      <c r="EL1" t="e">
        <f>IF(#REF!,"AAAAAD6cbY0=",0)</f>
        <v>#REF!</v>
      </c>
      <c r="EM1" t="e">
        <f>AND(#REF!,"AAAAAD6cbY4=")</f>
        <v>#REF!</v>
      </c>
      <c r="EN1" t="e">
        <f>AND(#REF!,"AAAAAD6cbY8=")</f>
        <v>#REF!</v>
      </c>
      <c r="EO1" t="e">
        <f>AND(#REF!,"AAAAAD6cbZA=")</f>
        <v>#REF!</v>
      </c>
      <c r="EP1" t="e">
        <f>AND(#REF!,"AAAAAD6cbZE=")</f>
        <v>#REF!</v>
      </c>
      <c r="EQ1" t="e">
        <f>AND(#REF!,"AAAAAD6cbZI=")</f>
        <v>#REF!</v>
      </c>
      <c r="ER1" t="e">
        <f>AND(#REF!,"AAAAAD6cbZM=")</f>
        <v>#REF!</v>
      </c>
      <c r="ES1" t="e">
        <f>AND(#REF!,"AAAAAD6cbZQ=")</f>
        <v>#REF!</v>
      </c>
      <c r="ET1" t="e">
        <f>AND(#REF!,"AAAAAD6cbZU=")</f>
        <v>#REF!</v>
      </c>
      <c r="EU1" t="e">
        <f>AND(#REF!,"AAAAAD6cbZY=")</f>
        <v>#REF!</v>
      </c>
      <c r="EV1" t="e">
        <f>IF(#REF!,"AAAAAD6cbZc=",0)</f>
        <v>#REF!</v>
      </c>
      <c r="EW1" t="e">
        <f>AND(#REF!,"AAAAAD6cbZg=")</f>
        <v>#REF!</v>
      </c>
      <c r="EX1" t="e">
        <f>AND(#REF!,"AAAAAD6cbZk=")</f>
        <v>#REF!</v>
      </c>
      <c r="EY1" t="e">
        <f>AND(#REF!,"AAAAAD6cbZo=")</f>
        <v>#REF!</v>
      </c>
      <c r="EZ1" t="e">
        <f>AND(#REF!,"AAAAAD6cbZs=")</f>
        <v>#REF!</v>
      </c>
      <c r="FA1" t="e">
        <f>AND(#REF!,"AAAAAD6cbZw=")</f>
        <v>#REF!</v>
      </c>
      <c r="FB1" t="e">
        <f>AND(#REF!,"AAAAAD6cbZ0=")</f>
        <v>#REF!</v>
      </c>
      <c r="FC1" t="e">
        <f>AND(#REF!,"AAAAAD6cbZ4=")</f>
        <v>#REF!</v>
      </c>
      <c r="FD1" t="e">
        <f>AND(#REF!,"AAAAAD6cbZ8=")</f>
        <v>#REF!</v>
      </c>
      <c r="FE1" t="e">
        <f>AND(#REF!,"AAAAAD6cbaA=")</f>
        <v>#REF!</v>
      </c>
      <c r="FF1" t="e">
        <f>IF(#REF!,"AAAAAD6cbaE=",0)</f>
        <v>#REF!</v>
      </c>
      <c r="FG1" t="e">
        <f>IF(#REF!,"AAAAAD6cbaI=",0)</f>
        <v>#REF!</v>
      </c>
      <c r="FH1" t="e">
        <f>IF(#REF!,"AAAAAD6cbaM=",0)</f>
        <v>#REF!</v>
      </c>
      <c r="FI1" t="e">
        <f>IF(#REF!,"AAAAAD6cbaQ=",0)</f>
        <v>#REF!</v>
      </c>
      <c r="FJ1" t="e">
        <f>IF(#REF!,"AAAAAD6cbaU=",0)</f>
        <v>#REF!</v>
      </c>
      <c r="FK1" t="e">
        <f>IF(#REF!,"AAAAAD6cbaY=",0)</f>
        <v>#REF!</v>
      </c>
      <c r="FL1" t="e">
        <f>IF(#REF!,"AAAAAD6cbac=",0)</f>
        <v>#REF!</v>
      </c>
      <c r="FM1" t="e">
        <f>IF(#REF!,"AAAAAD6cbag=",0)</f>
        <v>#REF!</v>
      </c>
      <c r="FN1" t="e">
        <f>IF(#REF!,"AAAAAD6cbak=",0)</f>
        <v>#REF!</v>
      </c>
      <c r="FO1" t="e">
        <f>IF(#REF!,"AAAAAD6cbao=",0)</f>
        <v>#REF!</v>
      </c>
      <c r="FP1" t="e">
        <f>AND(#REF!,"AAAAAD6cbas=")</f>
        <v>#REF!</v>
      </c>
      <c r="FQ1" t="e">
        <f>AND(#REF!,"AAAAAD6cbaw=")</f>
        <v>#REF!</v>
      </c>
      <c r="FR1" t="e">
        <f>AND(#REF!,"AAAAAD6cba0=")</f>
        <v>#REF!</v>
      </c>
      <c r="FS1" t="e">
        <f>AND(#REF!,"AAAAAD6cba4=")</f>
        <v>#REF!</v>
      </c>
      <c r="FT1" t="e">
        <f>AND(#REF!,"AAAAAD6cba8=")</f>
        <v>#REF!</v>
      </c>
      <c r="FU1" t="e">
        <f>IF(#REF!,"AAAAAD6cbbA=",0)</f>
        <v>#REF!</v>
      </c>
      <c r="FV1" t="e">
        <f>AND(#REF!,"AAAAAD6cbbE=")</f>
        <v>#REF!</v>
      </c>
      <c r="FW1" t="e">
        <f>AND(#REF!,"AAAAAD6cbbI=")</f>
        <v>#REF!</v>
      </c>
      <c r="FX1" t="e">
        <f>AND(#REF!,"AAAAAD6cbbM=")</f>
        <v>#REF!</v>
      </c>
      <c r="FY1" t="e">
        <f>AND(#REF!,"AAAAAD6cbbQ=")</f>
        <v>#REF!</v>
      </c>
      <c r="FZ1" t="e">
        <f>AND(#REF!,"AAAAAD6cbbU=")</f>
        <v>#REF!</v>
      </c>
      <c r="GA1" t="e">
        <f>IF(#REF!,"AAAAAD6cbbY=",0)</f>
        <v>#REF!</v>
      </c>
      <c r="GB1" t="e">
        <f>AND(#REF!,"AAAAAD6cbbc=")</f>
        <v>#REF!</v>
      </c>
      <c r="GC1" t="e">
        <f>AND(#REF!,"AAAAAD6cbbg=")</f>
        <v>#REF!</v>
      </c>
      <c r="GD1" t="e">
        <f>AND(#REF!,"AAAAAD6cbbk=")</f>
        <v>#REF!</v>
      </c>
      <c r="GE1" t="e">
        <f>AND(#REF!,"AAAAAD6cbbo=")</f>
        <v>#REF!</v>
      </c>
      <c r="GF1" t="e">
        <f>AND(#REF!,"AAAAAD6cbbs=")</f>
        <v>#REF!</v>
      </c>
      <c r="GG1" t="e">
        <f>IF(#REF!,"AAAAAD6cbbw=",0)</f>
        <v>#REF!</v>
      </c>
      <c r="GH1" t="e">
        <f>AND(#REF!,"AAAAAD6cbb0=")</f>
        <v>#REF!</v>
      </c>
      <c r="GI1" t="e">
        <f>AND(#REF!,"AAAAAD6cbb4=")</f>
        <v>#REF!</v>
      </c>
      <c r="GJ1" t="e">
        <f>AND(#REF!,"AAAAAD6cbb8=")</f>
        <v>#REF!</v>
      </c>
      <c r="GK1" t="e">
        <f>AND(#REF!,"AAAAAD6cbcA=")</f>
        <v>#REF!</v>
      </c>
      <c r="GL1" t="e">
        <f>AND(#REF!,"AAAAAD6cbcE=")</f>
        <v>#REF!</v>
      </c>
      <c r="GM1" t="e">
        <f>IF(#REF!,"AAAAAD6cbcI=",0)</f>
        <v>#REF!</v>
      </c>
      <c r="GN1" t="e">
        <f>AND(#REF!,"AAAAAD6cbcM=")</f>
        <v>#REF!</v>
      </c>
      <c r="GO1" t="e">
        <f>AND(#REF!,"AAAAAD6cbcQ=")</f>
        <v>#REF!</v>
      </c>
      <c r="GP1" t="e">
        <f>AND(#REF!,"AAAAAD6cbcU=")</f>
        <v>#REF!</v>
      </c>
      <c r="GQ1" t="e">
        <f>AND(#REF!,"AAAAAD6cbcY=")</f>
        <v>#REF!</v>
      </c>
      <c r="GR1" t="e">
        <f>AND(#REF!,"AAAAAD6cbcc=")</f>
        <v>#REF!</v>
      </c>
      <c r="GS1" t="e">
        <f>IF(#REF!,"AAAAAD6cbcg=",0)</f>
        <v>#REF!</v>
      </c>
      <c r="GT1" t="e">
        <f>AND(#REF!,"AAAAAD6cbck=")</f>
        <v>#REF!</v>
      </c>
      <c r="GU1" t="e">
        <f>AND(#REF!,"AAAAAD6cbco=")</f>
        <v>#REF!</v>
      </c>
      <c r="GV1" t="e">
        <f>AND(#REF!,"AAAAAD6cbcs=")</f>
        <v>#REF!</v>
      </c>
      <c r="GW1" t="e">
        <f>AND(#REF!,"AAAAAD6cbcw=")</f>
        <v>#REF!</v>
      </c>
      <c r="GX1" t="e">
        <f>AND(#REF!,"AAAAAD6cbc0=")</f>
        <v>#REF!</v>
      </c>
      <c r="GY1" t="e">
        <f>IF(#REF!,"AAAAAD6cbc4=",0)</f>
        <v>#REF!</v>
      </c>
      <c r="GZ1" t="e">
        <f>AND(#REF!,"AAAAAD6cbc8=")</f>
        <v>#REF!</v>
      </c>
      <c r="HA1" t="e">
        <f>AND(#REF!,"AAAAAD6cbdA=")</f>
        <v>#REF!</v>
      </c>
      <c r="HB1" t="e">
        <f>AND(#REF!,"AAAAAD6cbdE=")</f>
        <v>#REF!</v>
      </c>
      <c r="HC1" t="e">
        <f>AND(#REF!,"AAAAAD6cbdI=")</f>
        <v>#REF!</v>
      </c>
      <c r="HD1" t="e">
        <f>AND(#REF!,"AAAAAD6cbdM=")</f>
        <v>#REF!</v>
      </c>
      <c r="HE1" t="e">
        <f>IF(#REF!,"AAAAAD6cbdQ=",0)</f>
        <v>#REF!</v>
      </c>
      <c r="HF1" t="e">
        <f>AND(#REF!,"AAAAAD6cbdU=")</f>
        <v>#REF!</v>
      </c>
      <c r="HG1" t="e">
        <f>AND(#REF!,"AAAAAD6cbdY=")</f>
        <v>#REF!</v>
      </c>
      <c r="HH1" t="e">
        <f>AND(#REF!,"AAAAAD6cbdc=")</f>
        <v>#REF!</v>
      </c>
      <c r="HI1" t="e">
        <f>AND(#REF!,"AAAAAD6cbdg=")</f>
        <v>#REF!</v>
      </c>
      <c r="HJ1" t="e">
        <f>AND(#REF!,"AAAAAD6cbdk=")</f>
        <v>#REF!</v>
      </c>
      <c r="HK1" t="e">
        <f>IF(#REF!,"AAAAAD6cbdo=",0)</f>
        <v>#REF!</v>
      </c>
      <c r="HL1" t="e">
        <f>AND(#REF!,"AAAAAD6cbds=")</f>
        <v>#REF!</v>
      </c>
      <c r="HM1" t="e">
        <f>AND(#REF!,"AAAAAD6cbdw=")</f>
        <v>#REF!</v>
      </c>
      <c r="HN1" t="e">
        <f>AND(#REF!,"AAAAAD6cbd0=")</f>
        <v>#REF!</v>
      </c>
      <c r="HO1" t="e">
        <f>AND(#REF!,"AAAAAD6cbd4=")</f>
        <v>#REF!</v>
      </c>
      <c r="HP1" t="e">
        <f>AND(#REF!,"AAAAAD6cbd8=")</f>
        <v>#REF!</v>
      </c>
      <c r="HQ1" t="e">
        <f>IF(#REF!,"AAAAAD6cbeA=",0)</f>
        <v>#REF!</v>
      </c>
      <c r="HR1" t="e">
        <f>AND(#REF!,"AAAAAD6cbeE=")</f>
        <v>#REF!</v>
      </c>
      <c r="HS1" t="e">
        <f>AND(#REF!,"AAAAAD6cbeI=")</f>
        <v>#REF!</v>
      </c>
      <c r="HT1" t="e">
        <f>AND(#REF!,"AAAAAD6cbeM=")</f>
        <v>#REF!</v>
      </c>
      <c r="HU1" t="e">
        <f>AND(#REF!,"AAAAAD6cbeQ=")</f>
        <v>#REF!</v>
      </c>
      <c r="HV1" t="e">
        <f>AND(#REF!,"AAAAAD6cbeU=")</f>
        <v>#REF!</v>
      </c>
      <c r="HW1" t="e">
        <f>IF(#REF!,"AAAAAD6cbeY=",0)</f>
        <v>#REF!</v>
      </c>
      <c r="HX1" t="e">
        <f>AND(#REF!,"AAAAAD6cbec=")</f>
        <v>#REF!</v>
      </c>
      <c r="HY1" t="e">
        <f>AND(#REF!,"AAAAAD6cbeg=")</f>
        <v>#REF!</v>
      </c>
      <c r="HZ1" t="e">
        <f>AND(#REF!,"AAAAAD6cbek=")</f>
        <v>#REF!</v>
      </c>
      <c r="IA1" t="e">
        <f>AND(#REF!,"AAAAAD6cbeo=")</f>
        <v>#REF!</v>
      </c>
      <c r="IB1" t="e">
        <f>AND(#REF!,"AAAAAD6cbes=")</f>
        <v>#REF!</v>
      </c>
      <c r="IC1" t="e">
        <f>IF(#REF!,"AAAAAD6cbew=",0)</f>
        <v>#REF!</v>
      </c>
      <c r="ID1" t="e">
        <f>AND(#REF!,"AAAAAD6cbe0=")</f>
        <v>#REF!</v>
      </c>
      <c r="IE1" t="e">
        <f>AND(#REF!,"AAAAAD6cbe4=")</f>
        <v>#REF!</v>
      </c>
      <c r="IF1" t="e">
        <f>AND(#REF!,"AAAAAD6cbe8=")</f>
        <v>#REF!</v>
      </c>
      <c r="IG1" t="e">
        <f>AND(#REF!,"AAAAAD6cbfA=")</f>
        <v>#REF!</v>
      </c>
      <c r="IH1" t="e">
        <f>AND(#REF!,"AAAAAD6cbfE=")</f>
        <v>#REF!</v>
      </c>
      <c r="II1" t="e">
        <f>IF(#REF!,"AAAAAD6cbfI=",0)</f>
        <v>#REF!</v>
      </c>
      <c r="IJ1" t="e">
        <f>AND(#REF!,"AAAAAD6cbfM=")</f>
        <v>#REF!</v>
      </c>
      <c r="IK1" t="e">
        <f>AND(#REF!,"AAAAAD6cbfQ=")</f>
        <v>#REF!</v>
      </c>
      <c r="IL1" t="e">
        <f>AND(#REF!,"AAAAAD6cbfU=")</f>
        <v>#REF!</v>
      </c>
      <c r="IM1" t="e">
        <f>AND(#REF!,"AAAAAD6cbfY=")</f>
        <v>#REF!</v>
      </c>
      <c r="IN1" t="e">
        <f>AND(#REF!,"AAAAAD6cbfc=")</f>
        <v>#REF!</v>
      </c>
      <c r="IO1" t="e">
        <f>IF(#REF!,"AAAAAD6cbfg=",0)</f>
        <v>#REF!</v>
      </c>
      <c r="IP1" t="e">
        <f>AND(#REF!,"AAAAAD6cbfk=")</f>
        <v>#REF!</v>
      </c>
      <c r="IQ1" t="e">
        <f>AND(#REF!,"AAAAAD6cbfo=")</f>
        <v>#REF!</v>
      </c>
      <c r="IR1" t="e">
        <f>AND(#REF!,"AAAAAD6cbfs=")</f>
        <v>#REF!</v>
      </c>
      <c r="IS1" t="e">
        <f>AND(#REF!,"AAAAAD6cbfw=")</f>
        <v>#REF!</v>
      </c>
      <c r="IT1" t="e">
        <f>AND(#REF!,"AAAAAD6cbf0=")</f>
        <v>#REF!</v>
      </c>
      <c r="IU1" t="e">
        <f>IF(#REF!,"AAAAAD6cbf4=",0)</f>
        <v>#REF!</v>
      </c>
      <c r="IV1" t="e">
        <f>AND(#REF!,"AAAAAD6cbf8=")</f>
        <v>#REF!</v>
      </c>
    </row>
    <row r="2" spans="1:256">
      <c r="A2" t="e">
        <f>AND(#REF!,"AAAAAH+P7wA=")</f>
        <v>#REF!</v>
      </c>
      <c r="B2" t="e">
        <f>AND(#REF!,"AAAAAH+P7wE=")</f>
        <v>#REF!</v>
      </c>
      <c r="C2" t="e">
        <f>AND(#REF!,"AAAAAH+P7wI=")</f>
        <v>#REF!</v>
      </c>
      <c r="D2" t="e">
        <f>AND(#REF!,"AAAAAH+P7wM=")</f>
        <v>#REF!</v>
      </c>
      <c r="E2" t="e">
        <f>IF(#REF!,"AAAAAH+P7wQ=",0)</f>
        <v>#REF!</v>
      </c>
      <c r="F2" t="e">
        <f>IF(#REF!,"AAAAAH+P7wU=",0)</f>
        <v>#REF!</v>
      </c>
      <c r="G2" t="e">
        <f>IF(#REF!,"AAAAAH+P7wY=",0)</f>
        <v>#REF!</v>
      </c>
      <c r="H2" t="e">
        <f>IF(#REF!,"AAAAAH+P7wc=",0)</f>
        <v>#REF!</v>
      </c>
      <c r="I2" t="e">
        <f>IF(#REF!,"AAAAAH+P7wg=",0)</f>
        <v>#REF!</v>
      </c>
      <c r="J2" t="e">
        <f>IF(#REF!,"AAAAAH+P7wk=",0)</f>
        <v>#REF!</v>
      </c>
      <c r="K2" t="e">
        <f>AND(#REF!,"AAAAAH+P7wo=")</f>
        <v>#REF!</v>
      </c>
      <c r="L2" t="e">
        <f>IF(#REF!,"AAAAAH+P7ws=",0)</f>
        <v>#REF!</v>
      </c>
      <c r="M2" t="e">
        <f>IF(#REF!,"AAAAAH+P7ww=",0)</f>
        <v>#REF!</v>
      </c>
      <c r="N2" t="e">
        <f>IF(#REF!,"AAAAAH+P7w0=",0)</f>
        <v>#REF!</v>
      </c>
      <c r="O2" t="e">
        <f>IF(#REF!,"AAAAAH+P7w4=",0)</f>
        <v>#REF!</v>
      </c>
      <c r="P2" t="e">
        <f>IF(#REF!,"AAAAAH+P7w8=",0)</f>
        <v>#REF!</v>
      </c>
      <c r="Q2" t="e">
        <f>IF(#REF!,"AAAAAH+P7xA=",0)</f>
        <v>#REF!</v>
      </c>
      <c r="R2" t="e">
        <f>IF(#REF!,"AAAAAH+P7xE=",0)</f>
        <v>#REF!</v>
      </c>
      <c r="S2" t="e">
        <f>IF(#REF!,"AAAAAH+P7xI=",0)</f>
        <v>#REF!</v>
      </c>
      <c r="T2" t="e">
        <f>IF(#REF!,"AAAAAH+P7xM=",0)</f>
        <v>#REF!</v>
      </c>
      <c r="U2" t="e">
        <f>IF(#REF!,"AAAAAH+P7xQ=",0)</f>
        <v>#REF!</v>
      </c>
      <c r="V2" t="e">
        <f>IF(#REF!,"AAAAAH+P7xU=",0)</f>
        <v>#REF!</v>
      </c>
      <c r="W2" t="e">
        <f>IF(#REF!,"AAAAAH+P7xY=",0)</f>
        <v>#REF!</v>
      </c>
      <c r="X2" t="e">
        <f>IF(#REF!,"AAAAAH+P7xc=",0)</f>
        <v>#REF!</v>
      </c>
      <c r="Y2" t="e">
        <f>IF(#REF!,"AAAAAH+P7xg=",0)</f>
        <v>#REF!</v>
      </c>
      <c r="Z2" t="e">
        <f>IF(#REF!,"AAAAAH+P7xk=",0)</f>
        <v>#REF!</v>
      </c>
      <c r="AA2" t="e">
        <f>IF(#REF!,"AAAAAH+P7xo=",0)</f>
        <v>#REF!</v>
      </c>
      <c r="AB2" t="e">
        <f>IF(#REF!,"AAAAAH+P7xs=",0)</f>
        <v>#REF!</v>
      </c>
      <c r="AC2" t="e">
        <f>IF(#REF!,"AAAAAH+P7xw=",0)</f>
        <v>#REF!</v>
      </c>
      <c r="AD2" t="e">
        <f>IF(#REF!,"AAAAAH+P7x0=",0)</f>
        <v>#REF!</v>
      </c>
      <c r="AE2" t="e">
        <f>IF(#REF!,"AAAAAH+P7x4=",0)</f>
        <v>#REF!</v>
      </c>
      <c r="AF2" t="e">
        <f>IF(#REF!,"AAAAAH+P7x8=",0)</f>
        <v>#REF!</v>
      </c>
      <c r="AG2" t="e">
        <f>IF(#REF!,"AAAAAH+P7yA=",0)</f>
        <v>#REF!</v>
      </c>
      <c r="AH2" t="e">
        <f>IF(#REF!,"AAAAAH+P7yE=",0)</f>
        <v>#REF!</v>
      </c>
      <c r="AI2" t="e">
        <f>IF(#REF!,"AAAAAH+P7yI=",0)</f>
        <v>#REF!</v>
      </c>
      <c r="AJ2" t="e">
        <f>IF(#REF!,"AAAAAH+P7yM=",0)</f>
        <v>#REF!</v>
      </c>
      <c r="AK2" t="e">
        <f>IF(#REF!,"AAAAAH+P7yQ=",0)</f>
        <v>#REF!</v>
      </c>
      <c r="AL2" t="e">
        <f>IF(#REF!,"AAAAAH+P7yU=",0)</f>
        <v>#REF!</v>
      </c>
      <c r="AM2" t="e">
        <f>IF(#REF!,"AAAAAH+P7yY=",0)</f>
        <v>#REF!</v>
      </c>
      <c r="AN2" t="e">
        <f>IF(#REF!,"AAAAAH+P7yc=",0)</f>
        <v>#REF!</v>
      </c>
      <c r="AO2" t="e">
        <f>IF(#REF!,"AAAAAH+P7yg=",0)</f>
        <v>#REF!</v>
      </c>
      <c r="AP2" t="e">
        <f>IF(#REF!,"AAAAAH+P7yk=",0)</f>
        <v>#REF!</v>
      </c>
      <c r="AQ2" t="e">
        <f>IF(#REF!,"AAAAAH+P7yo=",0)</f>
        <v>#REF!</v>
      </c>
      <c r="AR2" t="e">
        <f>IF(#REF!,"AAAAAH+P7ys=",0)</f>
        <v>#REF!</v>
      </c>
      <c r="AS2" t="e">
        <f>IF(#REF!,"AAAAAH+P7yw=",0)</f>
        <v>#REF!</v>
      </c>
      <c r="AT2" t="e">
        <f>IF(#REF!,"AAAAAH+P7y0=",0)</f>
        <v>#REF!</v>
      </c>
      <c r="AU2" t="e">
        <f>IF(#REF!,"AAAAAH+P7y4=",0)</f>
        <v>#REF!</v>
      </c>
      <c r="AV2" t="e">
        <f>IF(#REF!,"AAAAAH+P7y8=",0)</f>
        <v>#REF!</v>
      </c>
      <c r="AW2" t="e">
        <f>IF(#REF!,"AAAAAH+P7zA=",0)</f>
        <v>#REF!</v>
      </c>
      <c r="AX2" t="e">
        <f>IF(#REF!,"AAAAAH+P7zE=",0)</f>
        <v>#REF!</v>
      </c>
      <c r="AY2" t="e">
        <f>IF(#REF!,"AAAAAH+P7zI=",0)</f>
        <v>#REF!</v>
      </c>
      <c r="AZ2" t="e">
        <f>IF(#REF!,"AAAAAH+P7zM=",0)</f>
        <v>#REF!</v>
      </c>
      <c r="BA2" t="e">
        <f>IF(#REF!,"AAAAAH+P7zQ=",0)</f>
        <v>#REF!</v>
      </c>
      <c r="BB2" t="e">
        <f>IF(#REF!,"AAAAAH+P7zU=",0)</f>
        <v>#REF!</v>
      </c>
      <c r="BC2" t="e">
        <f>IF(#REF!,"AAAAAH+P7zY=",0)</f>
        <v>#REF!</v>
      </c>
      <c r="BD2" t="e">
        <f>IF(#REF!,"AAAAAH+P7zc=",0)</f>
        <v>#REF!</v>
      </c>
      <c r="BE2" t="e">
        <f>IF(#REF!,"AAAAAH+P7zg=",0)</f>
        <v>#REF!</v>
      </c>
      <c r="BF2" t="e">
        <f>IF(#REF!,"AAAAAH+P7zk=",0)</f>
        <v>#REF!</v>
      </c>
      <c r="BG2" t="e">
        <f>IF(#REF!,"AAAAAH+P7zo=",0)</f>
        <v>#REF!</v>
      </c>
      <c r="BH2" t="e">
        <f>IF(#REF!,"AAAAAH+P7zs=",0)</f>
        <v>#REF!</v>
      </c>
      <c r="BI2" t="e">
        <f>IF(#REF!,"AAAAAH+P7zw=",0)</f>
        <v>#REF!</v>
      </c>
      <c r="BJ2" t="e">
        <f>AND(#REF!,"AAAAAH+P7z0=")</f>
        <v>#REF!</v>
      </c>
      <c r="BK2" t="e">
        <f>AND(#REF!,"AAAAAH+P7z4=")</f>
        <v>#REF!</v>
      </c>
      <c r="BL2" t="e">
        <f>AND(#REF!,"AAAAAH+P7z8=")</f>
        <v>#REF!</v>
      </c>
      <c r="BM2" t="e">
        <f>AND(#REF!,"AAAAAH+P70A=")</f>
        <v>#REF!</v>
      </c>
      <c r="BN2" t="e">
        <f>AND(#REF!,"AAAAAH+P70E=")</f>
        <v>#REF!</v>
      </c>
      <c r="BO2" t="e">
        <f>AND(#REF!,"AAAAAH+P70I=")</f>
        <v>#REF!</v>
      </c>
      <c r="BP2" t="e">
        <f>AND(#REF!,"AAAAAH+P70M=")</f>
        <v>#REF!</v>
      </c>
      <c r="BQ2" t="e">
        <f>AND(#REF!,"AAAAAH+P70Q=")</f>
        <v>#REF!</v>
      </c>
      <c r="BR2" t="e">
        <f>AND(#REF!,"AAAAAH+P70U=")</f>
        <v>#REF!</v>
      </c>
      <c r="BS2" t="e">
        <f>IF(#REF!,"AAAAAH+P70Y=",0)</f>
        <v>#REF!</v>
      </c>
      <c r="BT2" t="e">
        <f>AND(#REF!,"AAAAAH+P70c=")</f>
        <v>#REF!</v>
      </c>
      <c r="BU2" t="e">
        <f>AND(#REF!,"AAAAAH+P70g=")</f>
        <v>#REF!</v>
      </c>
      <c r="BV2" t="e">
        <f>AND(#REF!,"AAAAAH+P70k=")</f>
        <v>#REF!</v>
      </c>
      <c r="BW2" t="e">
        <f>AND(#REF!,"AAAAAH+P70o=")</f>
        <v>#REF!</v>
      </c>
      <c r="BX2" t="e">
        <f>AND(#REF!,"AAAAAH+P70s=")</f>
        <v>#REF!</v>
      </c>
      <c r="BY2" t="e">
        <f>AND(#REF!,"AAAAAH+P70w=")</f>
        <v>#REF!</v>
      </c>
      <c r="BZ2" t="e">
        <f>AND(#REF!,"AAAAAH+P700=")</f>
        <v>#REF!</v>
      </c>
      <c r="CA2" t="e">
        <f>AND(#REF!,"AAAAAH+P704=")</f>
        <v>#REF!</v>
      </c>
      <c r="CB2" t="e">
        <f>AND(#REF!,"AAAAAH+P708=")</f>
        <v>#REF!</v>
      </c>
      <c r="CC2" t="e">
        <f>IF(#REF!,"AAAAAH+P71A=",0)</f>
        <v>#REF!</v>
      </c>
      <c r="CD2" t="e">
        <f>AND(#REF!,"AAAAAH+P71E=")</f>
        <v>#REF!</v>
      </c>
      <c r="CE2" t="e">
        <f>AND(#REF!,"AAAAAH+P71I=")</f>
        <v>#REF!</v>
      </c>
      <c r="CF2" t="e">
        <f>AND(#REF!,"AAAAAH+P71M=")</f>
        <v>#REF!</v>
      </c>
      <c r="CG2" t="e">
        <f>AND(#REF!,"AAAAAH+P71Q=")</f>
        <v>#REF!</v>
      </c>
      <c r="CH2" t="e">
        <f>AND(#REF!,"AAAAAH+P71U=")</f>
        <v>#REF!</v>
      </c>
      <c r="CI2" t="e">
        <f>AND(#REF!,"AAAAAH+P71Y=")</f>
        <v>#REF!</v>
      </c>
      <c r="CJ2" t="e">
        <f>AND(#REF!,"AAAAAH+P71c=")</f>
        <v>#REF!</v>
      </c>
      <c r="CK2" t="e">
        <f>AND(#REF!,"AAAAAH+P71g=")</f>
        <v>#REF!</v>
      </c>
      <c r="CL2" t="e">
        <f>AND(#REF!,"AAAAAH+P71k=")</f>
        <v>#REF!</v>
      </c>
      <c r="CM2" t="e">
        <f>IF(#REF!,"AAAAAH+P71o=",0)</f>
        <v>#REF!</v>
      </c>
      <c r="CN2" t="e">
        <f>AND(#REF!,"AAAAAH+P71s=")</f>
        <v>#REF!</v>
      </c>
      <c r="CO2" t="e">
        <f>AND(#REF!,"AAAAAH+P71w=")</f>
        <v>#REF!</v>
      </c>
      <c r="CP2" t="e">
        <f>AND(#REF!,"AAAAAH+P710=")</f>
        <v>#REF!</v>
      </c>
      <c r="CQ2" t="e">
        <f>AND(#REF!,"AAAAAH+P714=")</f>
        <v>#REF!</v>
      </c>
      <c r="CR2" t="e">
        <f>AND(#REF!,"AAAAAH+P718=")</f>
        <v>#REF!</v>
      </c>
      <c r="CS2" t="e">
        <f>AND(#REF!,"AAAAAH+P72A=")</f>
        <v>#REF!</v>
      </c>
      <c r="CT2" t="e">
        <f>AND(#REF!,"AAAAAH+P72E=")</f>
        <v>#REF!</v>
      </c>
      <c r="CU2" t="e">
        <f>AND(#REF!,"AAAAAH+P72I=")</f>
        <v>#REF!</v>
      </c>
      <c r="CV2" t="e">
        <f>AND(#REF!,"AAAAAH+P72M=")</f>
        <v>#REF!</v>
      </c>
      <c r="CW2" t="e">
        <f>IF(#REF!,"AAAAAH+P72Q=",0)</f>
        <v>#REF!</v>
      </c>
      <c r="CX2" t="e">
        <f>AND(#REF!,"AAAAAH+P72U=")</f>
        <v>#REF!</v>
      </c>
      <c r="CY2" t="e">
        <f>AND(#REF!,"AAAAAH+P72Y=")</f>
        <v>#REF!</v>
      </c>
      <c r="CZ2" t="e">
        <f>AND(#REF!,"AAAAAH+P72c=")</f>
        <v>#REF!</v>
      </c>
      <c r="DA2" t="e">
        <f>AND(#REF!,"AAAAAH+P72g=")</f>
        <v>#REF!</v>
      </c>
      <c r="DB2" t="e">
        <f>AND(#REF!,"AAAAAH+P72k=")</f>
        <v>#REF!</v>
      </c>
      <c r="DC2" t="e">
        <f>AND(#REF!,"AAAAAH+P72o=")</f>
        <v>#REF!</v>
      </c>
      <c r="DD2" t="e">
        <f>AND(#REF!,"AAAAAH+P72s=")</f>
        <v>#REF!</v>
      </c>
      <c r="DE2" t="e">
        <f>AND(#REF!,"AAAAAH+P72w=")</f>
        <v>#REF!</v>
      </c>
      <c r="DF2" t="e">
        <f>AND(#REF!,"AAAAAH+P720=")</f>
        <v>#REF!</v>
      </c>
      <c r="DG2" t="e">
        <f>IF(#REF!,"AAAAAH+P724=",0)</f>
        <v>#REF!</v>
      </c>
      <c r="DH2" t="e">
        <f>AND(#REF!,"AAAAAH+P728=")</f>
        <v>#REF!</v>
      </c>
      <c r="DI2" t="e">
        <f>AND(#REF!,"AAAAAH+P73A=")</f>
        <v>#REF!</v>
      </c>
      <c r="DJ2" t="e">
        <f>AND(#REF!,"AAAAAH+P73E=")</f>
        <v>#REF!</v>
      </c>
      <c r="DK2" t="e">
        <f>AND(#REF!,"AAAAAH+P73I=")</f>
        <v>#REF!</v>
      </c>
      <c r="DL2" t="e">
        <f>AND(#REF!,"AAAAAH+P73M=")</f>
        <v>#REF!</v>
      </c>
      <c r="DM2" t="e">
        <f>AND(#REF!,"AAAAAH+P73Q=")</f>
        <v>#REF!</v>
      </c>
      <c r="DN2" t="e">
        <f>AND(#REF!,"AAAAAH+P73U=")</f>
        <v>#REF!</v>
      </c>
      <c r="DO2" t="e">
        <f>AND(#REF!,"AAAAAH+P73Y=")</f>
        <v>#REF!</v>
      </c>
      <c r="DP2" t="e">
        <f>AND(#REF!,"AAAAAH+P73c=")</f>
        <v>#REF!</v>
      </c>
      <c r="DQ2" t="e">
        <f>IF(#REF!,"AAAAAH+P73g=",0)</f>
        <v>#REF!</v>
      </c>
      <c r="DR2" t="e">
        <f>AND(#REF!,"AAAAAH+P73k=")</f>
        <v>#REF!</v>
      </c>
      <c r="DS2" t="e">
        <f>AND(#REF!,"AAAAAH+P73o=")</f>
        <v>#REF!</v>
      </c>
      <c r="DT2" t="e">
        <f>AND(#REF!,"AAAAAH+P73s=")</f>
        <v>#REF!</v>
      </c>
      <c r="DU2" t="e">
        <f>AND(#REF!,"AAAAAH+P73w=")</f>
        <v>#REF!</v>
      </c>
      <c r="DV2" t="e">
        <f>AND(#REF!,"AAAAAH+P730=")</f>
        <v>#REF!</v>
      </c>
      <c r="DW2" t="e">
        <f>AND(#REF!,"AAAAAH+P734=")</f>
        <v>#REF!</v>
      </c>
      <c r="DX2" t="e">
        <f>AND(#REF!,"AAAAAH+P738=")</f>
        <v>#REF!</v>
      </c>
      <c r="DY2" t="e">
        <f>AND(#REF!,"AAAAAH+P74A=")</f>
        <v>#REF!</v>
      </c>
      <c r="DZ2" t="e">
        <f>AND(#REF!,"AAAAAH+P74E=")</f>
        <v>#REF!</v>
      </c>
      <c r="EA2" t="e">
        <f>IF(#REF!,"AAAAAH+P74I=",0)</f>
        <v>#REF!</v>
      </c>
      <c r="EB2" t="e">
        <f>AND(#REF!,"AAAAAH+P74M=")</f>
        <v>#REF!</v>
      </c>
      <c r="EC2" t="e">
        <f>AND(#REF!,"AAAAAH+P74Q=")</f>
        <v>#REF!</v>
      </c>
      <c r="ED2" t="e">
        <f>AND(#REF!,"AAAAAH+P74U=")</f>
        <v>#REF!</v>
      </c>
      <c r="EE2" t="e">
        <f>AND(#REF!,"AAAAAH+P74Y=")</f>
        <v>#REF!</v>
      </c>
      <c r="EF2" t="e">
        <f>AND(#REF!,"AAAAAH+P74c=")</f>
        <v>#REF!</v>
      </c>
      <c r="EG2" t="e">
        <f>AND(#REF!,"AAAAAH+P74g=")</f>
        <v>#REF!</v>
      </c>
      <c r="EH2" t="e">
        <f>AND(#REF!,"AAAAAH+P74k=")</f>
        <v>#REF!</v>
      </c>
      <c r="EI2" t="e">
        <f>AND(#REF!,"AAAAAH+P74o=")</f>
        <v>#REF!</v>
      </c>
      <c r="EJ2" t="e">
        <f>AND(#REF!,"AAAAAH+P74s=")</f>
        <v>#REF!</v>
      </c>
      <c r="EK2" t="e">
        <f>IF(#REF!,"AAAAAH+P74w=",0)</f>
        <v>#REF!</v>
      </c>
      <c r="EL2" t="e">
        <f>AND(#REF!,"AAAAAH+P740=")</f>
        <v>#REF!</v>
      </c>
      <c r="EM2" t="e">
        <f>AND(#REF!,"AAAAAH+P744=")</f>
        <v>#REF!</v>
      </c>
      <c r="EN2" t="e">
        <f>AND(#REF!,"AAAAAH+P748=")</f>
        <v>#REF!</v>
      </c>
      <c r="EO2" t="e">
        <f>AND(#REF!,"AAAAAH+P75A=")</f>
        <v>#REF!</v>
      </c>
      <c r="EP2" t="e">
        <f>AND(#REF!,"AAAAAH+P75E=")</f>
        <v>#REF!</v>
      </c>
      <c r="EQ2" t="e">
        <f>AND(#REF!,"AAAAAH+P75I=")</f>
        <v>#REF!</v>
      </c>
      <c r="ER2" t="e">
        <f>AND(#REF!,"AAAAAH+P75M=")</f>
        <v>#REF!</v>
      </c>
      <c r="ES2" t="e">
        <f>AND(#REF!,"AAAAAH+P75Q=")</f>
        <v>#REF!</v>
      </c>
      <c r="ET2" t="e">
        <f>AND(#REF!,"AAAAAH+P75U=")</f>
        <v>#REF!</v>
      </c>
      <c r="EU2" t="e">
        <f>IF(#REF!,"AAAAAH+P75Y=",0)</f>
        <v>#REF!</v>
      </c>
      <c r="EV2" t="e">
        <f>AND(#REF!,"AAAAAH+P75c=")</f>
        <v>#REF!</v>
      </c>
      <c r="EW2" t="e">
        <f>AND(#REF!,"AAAAAH+P75g=")</f>
        <v>#REF!</v>
      </c>
      <c r="EX2" t="e">
        <f>AND(#REF!,"AAAAAH+P75k=")</f>
        <v>#REF!</v>
      </c>
      <c r="EY2" t="e">
        <f>AND(#REF!,"AAAAAH+P75o=")</f>
        <v>#REF!</v>
      </c>
      <c r="EZ2" t="e">
        <f>AND(#REF!,"AAAAAH+P75s=")</f>
        <v>#REF!</v>
      </c>
      <c r="FA2" t="e">
        <f>AND(#REF!,"AAAAAH+P75w=")</f>
        <v>#REF!</v>
      </c>
      <c r="FB2" t="e">
        <f>AND(#REF!,"AAAAAH+P750=")</f>
        <v>#REF!</v>
      </c>
      <c r="FC2" t="e">
        <f>AND(#REF!,"AAAAAH+P754=")</f>
        <v>#REF!</v>
      </c>
      <c r="FD2" t="e">
        <f>AND(#REF!,"AAAAAH+P758=")</f>
        <v>#REF!</v>
      </c>
      <c r="FE2" t="e">
        <f>IF(#REF!,"AAAAAH+P76A=",0)</f>
        <v>#REF!</v>
      </c>
      <c r="FF2" t="e">
        <f>AND(#REF!,"AAAAAH+P76E=")</f>
        <v>#REF!</v>
      </c>
      <c r="FG2" t="e">
        <f>AND(#REF!,"AAAAAH+P76I=")</f>
        <v>#REF!</v>
      </c>
      <c r="FH2" t="e">
        <f>AND(#REF!,"AAAAAH+P76M=")</f>
        <v>#REF!</v>
      </c>
      <c r="FI2" t="e">
        <f>AND(#REF!,"AAAAAH+P76Q=")</f>
        <v>#REF!</v>
      </c>
      <c r="FJ2" t="e">
        <f>AND(#REF!,"AAAAAH+P76U=")</f>
        <v>#REF!</v>
      </c>
      <c r="FK2" t="e">
        <f>AND(#REF!,"AAAAAH+P76Y=")</f>
        <v>#REF!</v>
      </c>
      <c r="FL2" t="e">
        <f>AND(#REF!,"AAAAAH+P76c=")</f>
        <v>#REF!</v>
      </c>
      <c r="FM2" t="e">
        <f>AND(#REF!,"AAAAAH+P76g=")</f>
        <v>#REF!</v>
      </c>
      <c r="FN2" t="e">
        <f>AND(#REF!,"AAAAAH+P76k=")</f>
        <v>#REF!</v>
      </c>
      <c r="FO2" t="e">
        <f>IF(#REF!,"AAAAAH+P76o=",0)</f>
        <v>#REF!</v>
      </c>
      <c r="FP2" t="e">
        <f>AND(#REF!,"AAAAAH+P76s=")</f>
        <v>#REF!</v>
      </c>
      <c r="FQ2" t="e">
        <f>AND(#REF!,"AAAAAH+P76w=")</f>
        <v>#REF!</v>
      </c>
      <c r="FR2" t="e">
        <f>AND(#REF!,"AAAAAH+P760=")</f>
        <v>#REF!</v>
      </c>
      <c r="FS2" t="e">
        <f>AND(#REF!,"AAAAAH+P764=")</f>
        <v>#REF!</v>
      </c>
      <c r="FT2" t="e">
        <f>AND(#REF!,"AAAAAH+P768=")</f>
        <v>#REF!</v>
      </c>
      <c r="FU2" t="e">
        <f>AND(#REF!,"AAAAAH+P77A=")</f>
        <v>#REF!</v>
      </c>
      <c r="FV2" t="e">
        <f>AND(#REF!,"AAAAAH+P77E=")</f>
        <v>#REF!</v>
      </c>
      <c r="FW2" t="e">
        <f>AND(#REF!,"AAAAAH+P77I=")</f>
        <v>#REF!</v>
      </c>
      <c r="FX2" t="e">
        <f>AND(#REF!,"AAAAAH+P77M=")</f>
        <v>#REF!</v>
      </c>
      <c r="FY2" t="e">
        <f>IF(#REF!,"AAAAAH+P77Q=",0)</f>
        <v>#REF!</v>
      </c>
      <c r="FZ2" t="e">
        <f>AND(#REF!,"AAAAAH+P77U=")</f>
        <v>#REF!</v>
      </c>
      <c r="GA2" t="e">
        <f>IF(#REF!,"AAAAAH+P77Y=",0)</f>
        <v>#REF!</v>
      </c>
      <c r="GB2" t="e">
        <f>IF(#REF!,"AAAAAH+P77c=",0)</f>
        <v>#REF!</v>
      </c>
      <c r="GC2" t="e">
        <f>IF(#REF!,"AAAAAH+P77g=",0)</f>
        <v>#REF!</v>
      </c>
      <c r="GD2" t="e">
        <f>IF(#REF!,"AAAAAH+P77k=",0)</f>
        <v>#REF!</v>
      </c>
      <c r="GE2" t="e">
        <f>IF(#REF!,"AAAAAH+P77o=",0)</f>
        <v>#REF!</v>
      </c>
      <c r="GF2" t="e">
        <f>IF(#REF!,"AAAAAH+P77s=",0)</f>
        <v>#REF!</v>
      </c>
      <c r="GG2" t="e">
        <f>IF(#REF!,"AAAAAH+P77w=",0)</f>
        <v>#REF!</v>
      </c>
      <c r="GH2" t="e">
        <f>IF(#REF!,"AAAAAH+P770=",0)</f>
        <v>#REF!</v>
      </c>
      <c r="GI2" t="e">
        <f>IF(#REF!,"AAAAAH+P774=",0)</f>
        <v>#REF!</v>
      </c>
      <c r="GJ2" t="e">
        <f>IF(#REF!,"AAAAAH+P778=",0)</f>
        <v>#REF!</v>
      </c>
      <c r="GK2" t="e">
        <f>AND(#REF!,"AAAAAH+P78A=")</f>
        <v>#REF!</v>
      </c>
      <c r="GL2" t="e">
        <f>AND(#REF!,"AAAAAH+P78E=")</f>
        <v>#REF!</v>
      </c>
      <c r="GM2" t="e">
        <f>AND(#REF!,"AAAAAH+P78I=")</f>
        <v>#REF!</v>
      </c>
      <c r="GN2" t="e">
        <f>AND(#REF!,"AAAAAH+P78M=")</f>
        <v>#REF!</v>
      </c>
      <c r="GO2" t="e">
        <f>AND(#REF!,"AAAAAH+P78Q=")</f>
        <v>#REF!</v>
      </c>
      <c r="GP2" t="e">
        <f>AND(#REF!,"AAAAAH+P78U=")</f>
        <v>#REF!</v>
      </c>
      <c r="GQ2" t="e">
        <f>AND(#REF!,"AAAAAH+P78Y=")</f>
        <v>#REF!</v>
      </c>
      <c r="GR2" t="e">
        <f>AND(#REF!,"AAAAAH+P78c=")</f>
        <v>#REF!</v>
      </c>
      <c r="GS2" t="e">
        <f>AND(#REF!,"AAAAAH+P78g=")</f>
        <v>#REF!</v>
      </c>
      <c r="GT2" t="e">
        <f>AND(#REF!,"AAAAAH+P78k=")</f>
        <v>#REF!</v>
      </c>
      <c r="GU2" t="e">
        <f>AND(#REF!,"AAAAAH+P78o=")</f>
        <v>#REF!</v>
      </c>
      <c r="GV2" t="e">
        <f>AND(#REF!,"AAAAAH+P78s=")</f>
        <v>#REF!</v>
      </c>
      <c r="GW2" t="e">
        <f>IF(#REF!,"AAAAAH+P78w=",0)</f>
        <v>#REF!</v>
      </c>
      <c r="GX2" t="e">
        <f>AND(#REF!,"AAAAAH+P780=")</f>
        <v>#REF!</v>
      </c>
      <c r="GY2" t="e">
        <f>AND(#REF!,"AAAAAH+P784=")</f>
        <v>#REF!</v>
      </c>
      <c r="GZ2" t="e">
        <f>AND(#REF!,"AAAAAH+P788=")</f>
        <v>#REF!</v>
      </c>
      <c r="HA2" t="e">
        <f>AND(#REF!,"AAAAAH+P79A=")</f>
        <v>#REF!</v>
      </c>
      <c r="HB2" t="e">
        <f>AND(#REF!,"AAAAAH+P79E=")</f>
        <v>#REF!</v>
      </c>
      <c r="HC2" t="e">
        <f>AND(#REF!,"AAAAAH+P79I=")</f>
        <v>#REF!</v>
      </c>
      <c r="HD2" t="e">
        <f>AND(#REF!,"AAAAAH+P79M=")</f>
        <v>#REF!</v>
      </c>
      <c r="HE2" t="e">
        <f>AND(#REF!,"AAAAAH+P79Q=")</f>
        <v>#REF!</v>
      </c>
      <c r="HF2" t="e">
        <f>AND(#REF!,"AAAAAH+P79U=")</f>
        <v>#REF!</v>
      </c>
      <c r="HG2" t="e">
        <f>AND(#REF!,"AAAAAH+P79Y=")</f>
        <v>#REF!</v>
      </c>
      <c r="HH2" t="e">
        <f>AND(#REF!,"AAAAAH+P79c=")</f>
        <v>#REF!</v>
      </c>
      <c r="HI2" t="e">
        <f>AND(#REF!,"AAAAAH+P79g=")</f>
        <v>#REF!</v>
      </c>
      <c r="HJ2" t="e">
        <f>IF(#REF!,"AAAAAH+P79k=",0)</f>
        <v>#REF!</v>
      </c>
      <c r="HK2" t="e">
        <f>AND(#REF!,"AAAAAH+P79o=")</f>
        <v>#REF!</v>
      </c>
      <c r="HL2" t="e">
        <f>AND(#REF!,"AAAAAH+P79s=")</f>
        <v>#REF!</v>
      </c>
      <c r="HM2" t="e">
        <f>AND(#REF!,"AAAAAH+P79w=")</f>
        <v>#REF!</v>
      </c>
      <c r="HN2" t="e">
        <f>AND(#REF!,"AAAAAH+P790=")</f>
        <v>#REF!</v>
      </c>
      <c r="HO2" t="e">
        <f>AND(#REF!,"AAAAAH+P794=")</f>
        <v>#REF!</v>
      </c>
      <c r="HP2" t="e">
        <f>AND(#REF!,"AAAAAH+P798=")</f>
        <v>#REF!</v>
      </c>
      <c r="HQ2" t="e">
        <f>AND(#REF!,"AAAAAH+P7+A=")</f>
        <v>#REF!</v>
      </c>
      <c r="HR2" t="e">
        <f>AND(#REF!,"AAAAAH+P7+E=")</f>
        <v>#REF!</v>
      </c>
      <c r="HS2" t="e">
        <f>AND(#REF!,"AAAAAH+P7+I=")</f>
        <v>#REF!</v>
      </c>
      <c r="HT2" t="e">
        <f>AND(#REF!,"AAAAAH+P7+M=")</f>
        <v>#REF!</v>
      </c>
      <c r="HU2" t="e">
        <f>AND(#REF!,"AAAAAH+P7+Q=")</f>
        <v>#REF!</v>
      </c>
      <c r="HV2" t="e">
        <f>AND(#REF!,"AAAAAH+P7+U=")</f>
        <v>#REF!</v>
      </c>
      <c r="HW2" t="e">
        <f>IF(#REF!,"AAAAAH+P7+Y=",0)</f>
        <v>#REF!</v>
      </c>
      <c r="HX2" t="e">
        <f>IF(#REF!,"AAAAAH+P7+c=",0)</f>
        <v>#REF!</v>
      </c>
      <c r="HY2" t="e">
        <f>IF(#REF!,"AAAAAH+P7+g=",0)</f>
        <v>#REF!</v>
      </c>
      <c r="HZ2" t="e">
        <f>IF(#REF!,"AAAAAH+P7+k=",0)</f>
        <v>#REF!</v>
      </c>
      <c r="IA2" t="e">
        <f>IF(#REF!,"AAAAAH+P7+o=",0)</f>
        <v>#REF!</v>
      </c>
      <c r="IB2" t="e">
        <f>IF(#REF!,"AAAAAH+P7+s=",0)</f>
        <v>#REF!</v>
      </c>
      <c r="IC2" t="e">
        <f>IF(#REF!,"AAAAAH+P7+w=",0)</f>
        <v>#REF!</v>
      </c>
      <c r="ID2" t="e">
        <f>IF(#REF!,"AAAAAH+P7+0=",0)</f>
        <v>#REF!</v>
      </c>
      <c r="IE2" t="e">
        <f>IF(#REF!,"AAAAAH+P7+4=",0)</f>
        <v>#REF!</v>
      </c>
      <c r="IF2" t="e">
        <f>IF(#REF!,"AAAAAH+P7+8=",0)</f>
        <v>#REF!</v>
      </c>
      <c r="IG2" t="e">
        <f>IF(#REF!,"AAAAAH+P7/A=",0)</f>
        <v>#REF!</v>
      </c>
      <c r="IH2" t="e">
        <f>IF(#REF!,"AAAAAH+P7/E=",0)</f>
        <v>#REF!</v>
      </c>
      <c r="II2" t="e">
        <f>IF(#REF!,"AAAAAH+P7/I=",0)</f>
        <v>#REF!</v>
      </c>
      <c r="IJ2" t="e">
        <f>IF(#REF!,"AAAAAH+P7/M=",0)</f>
        <v>#REF!</v>
      </c>
      <c r="IK2" t="e">
        <f>IF(#REF!,"AAAAAH+P7/Q=",0)</f>
        <v>#REF!</v>
      </c>
      <c r="IL2" t="e">
        <f>IF(#REF!,"AAAAAH+P7/U=",0)</f>
        <v>#REF!</v>
      </c>
      <c r="IM2" t="e">
        <f>IF(#REF!,"AAAAAH+P7/Y=",0)</f>
        <v>#REF!</v>
      </c>
      <c r="IN2" t="e">
        <f>IF(#REF!,"AAAAAH+P7/c=",0)</f>
        <v>#REF!</v>
      </c>
      <c r="IO2" t="e">
        <f>IF(#REF!,"AAAAAH+P7/g=",0)</f>
        <v>#REF!</v>
      </c>
      <c r="IP2" t="e">
        <f>IF(#REF!,"AAAAAH+P7/k=",0)</f>
        <v>#REF!</v>
      </c>
      <c r="IQ2" t="e">
        <f>IF(#REF!,"AAAAAH+P7/o=",0)</f>
        <v>#REF!</v>
      </c>
      <c r="IR2" t="e">
        <f>IF(#REF!,"AAAAAH+P7/s=",0)</f>
        <v>#REF!</v>
      </c>
      <c r="IS2" t="e">
        <f>IF(#REF!,"AAAAAH+P7/w=",0)</f>
        <v>#REF!</v>
      </c>
      <c r="IT2" t="e">
        <f>IF(#REF!,"AAAAAH+P7/0=",0)</f>
        <v>#REF!</v>
      </c>
      <c r="IU2" t="e">
        <f>IF(#REF!,"AAAAAH+P7/4=",0)</f>
        <v>#REF!</v>
      </c>
      <c r="IV2" t="e">
        <f>AND(#REF!,"AAAAAH+P7/8=")</f>
        <v>#REF!</v>
      </c>
    </row>
    <row r="3" spans="1:256">
      <c r="A3" t="e">
        <f>AND(#REF!,"AAAAAH///wA=")</f>
        <v>#REF!</v>
      </c>
      <c r="B3" t="e">
        <f>AND(#REF!,"AAAAAH///wE=")</f>
        <v>#REF!</v>
      </c>
      <c r="C3" t="e">
        <f>AND(#REF!,"AAAAAH///wI=")</f>
        <v>#REF!</v>
      </c>
      <c r="D3" t="e">
        <f>IF(#REF!,"AAAAAH///wM=",0)</f>
        <v>#REF!</v>
      </c>
      <c r="E3" t="e">
        <f>AND(#REF!,"AAAAAH///wQ=")</f>
        <v>#REF!</v>
      </c>
      <c r="F3" t="e">
        <f>AND(#REF!,"AAAAAH///wU=")</f>
        <v>#REF!</v>
      </c>
      <c r="G3" t="e">
        <f>AND(#REF!,"AAAAAH///wY=")</f>
        <v>#REF!</v>
      </c>
      <c r="H3" t="e">
        <f>AND(#REF!,"AAAAAH///wc=")</f>
        <v>#REF!</v>
      </c>
      <c r="I3" t="e">
        <f>IF(#REF!,"AAAAAH///wg=",0)</f>
        <v>#REF!</v>
      </c>
      <c r="J3" t="e">
        <f>AND(#REF!,"AAAAAH///wk=")</f>
        <v>#REF!</v>
      </c>
      <c r="K3" t="e">
        <f>AND(#REF!,"AAAAAH///wo=")</f>
        <v>#REF!</v>
      </c>
      <c r="L3" t="e">
        <f>AND(#REF!,"AAAAAH///ws=")</f>
        <v>#REF!</v>
      </c>
      <c r="M3" t="e">
        <f>AND(#REF!,"AAAAAH///ww=")</f>
        <v>#REF!</v>
      </c>
      <c r="N3" t="e">
        <f>IF(#REF!,"AAAAAH///w0=",0)</f>
        <v>#REF!</v>
      </c>
      <c r="O3" t="e">
        <f>AND(#REF!,"AAAAAH///w4=")</f>
        <v>#REF!</v>
      </c>
      <c r="P3" t="e">
        <f>AND(#REF!,"AAAAAH///w8=")</f>
        <v>#REF!</v>
      </c>
      <c r="Q3" t="e">
        <f>AND(#REF!,"AAAAAH///xA=")</f>
        <v>#REF!</v>
      </c>
      <c r="R3" t="e">
        <f>AND(#REF!,"AAAAAH///xE=")</f>
        <v>#REF!</v>
      </c>
      <c r="S3" t="e">
        <f>IF(#REF!,"AAAAAH///xI=",0)</f>
        <v>#REF!</v>
      </c>
      <c r="T3" t="e">
        <f>AND(#REF!,"AAAAAH///xM=")</f>
        <v>#REF!</v>
      </c>
      <c r="U3" t="e">
        <f>AND(#REF!,"AAAAAH///xQ=")</f>
        <v>#REF!</v>
      </c>
      <c r="V3" t="e">
        <f>AND(#REF!,"AAAAAH///xU=")</f>
        <v>#REF!</v>
      </c>
      <c r="W3" t="e">
        <f>AND(#REF!,"AAAAAH///xY=")</f>
        <v>#REF!</v>
      </c>
      <c r="X3" t="e">
        <f>IF(#REF!,"AAAAAH///xc=",0)</f>
        <v>#REF!</v>
      </c>
      <c r="Y3" t="e">
        <f>AND(#REF!,"AAAAAH///xg=")</f>
        <v>#REF!</v>
      </c>
      <c r="Z3" t="e">
        <f>AND(#REF!,"AAAAAH///xk=")</f>
        <v>#REF!</v>
      </c>
      <c r="AA3" t="e">
        <f>AND(#REF!,"AAAAAH///xo=")</f>
        <v>#REF!</v>
      </c>
      <c r="AB3" t="e">
        <f>AND(#REF!,"AAAAAH///xs=")</f>
        <v>#REF!</v>
      </c>
      <c r="AC3" t="e">
        <f>IF(#REF!,"AAAAAH///xw=",0)</f>
        <v>#REF!</v>
      </c>
      <c r="AD3" t="e">
        <f>AND(#REF!,"AAAAAH///x0=")</f>
        <v>#REF!</v>
      </c>
      <c r="AE3" t="e">
        <f>AND(#REF!,"AAAAAH///x4=")</f>
        <v>#REF!</v>
      </c>
      <c r="AF3" t="e">
        <f>AND(#REF!,"AAAAAH///x8=")</f>
        <v>#REF!</v>
      </c>
      <c r="AG3" t="e">
        <f>AND(#REF!,"AAAAAH///yA=")</f>
        <v>#REF!</v>
      </c>
      <c r="AH3" t="e">
        <f>IF(#REF!,"AAAAAH///yE=",0)</f>
        <v>#REF!</v>
      </c>
      <c r="AI3" t="e">
        <f>AND(#REF!,"AAAAAH///yI=")</f>
        <v>#REF!</v>
      </c>
      <c r="AJ3" t="e">
        <f>AND(#REF!,"AAAAAH///yM=")</f>
        <v>#REF!</v>
      </c>
      <c r="AK3" t="e">
        <f>AND(#REF!,"AAAAAH///yQ=")</f>
        <v>#REF!</v>
      </c>
      <c r="AL3" t="e">
        <f>AND(#REF!,"AAAAAH///yU=")</f>
        <v>#REF!</v>
      </c>
      <c r="AM3" t="e">
        <f>IF(#REF!,"AAAAAH///yY=",0)</f>
        <v>#REF!</v>
      </c>
      <c r="AN3" t="e">
        <f>AND(#REF!,"AAAAAH///yc=")</f>
        <v>#REF!</v>
      </c>
      <c r="AO3" t="e">
        <f>AND(#REF!,"AAAAAH///yg=")</f>
        <v>#REF!</v>
      </c>
      <c r="AP3" t="e">
        <f>AND(#REF!,"AAAAAH///yk=")</f>
        <v>#REF!</v>
      </c>
      <c r="AQ3" t="e">
        <f>AND(#REF!,"AAAAAH///yo=")</f>
        <v>#REF!</v>
      </c>
      <c r="AR3" t="e">
        <f>IF(#REF!,"AAAAAH///ys=",0)</f>
        <v>#REF!</v>
      </c>
      <c r="AS3" t="e">
        <f>AND(#REF!,"AAAAAH///yw=")</f>
        <v>#REF!</v>
      </c>
      <c r="AT3" t="e">
        <f>AND(#REF!,"AAAAAH///y0=")</f>
        <v>#REF!</v>
      </c>
      <c r="AU3" t="e">
        <f>AND(#REF!,"AAAAAH///y4=")</f>
        <v>#REF!</v>
      </c>
      <c r="AV3" t="e">
        <f>AND(#REF!,"AAAAAH///y8=")</f>
        <v>#REF!</v>
      </c>
      <c r="AW3" t="e">
        <f>IF(#REF!,"AAAAAH///zA=",0)</f>
        <v>#REF!</v>
      </c>
      <c r="AX3" t="e">
        <f>AND(#REF!,"AAAAAH///zE=")</f>
        <v>#REF!</v>
      </c>
      <c r="AY3" t="e">
        <f>AND(#REF!,"AAAAAH///zI=")</f>
        <v>#REF!</v>
      </c>
      <c r="AZ3" t="e">
        <f>AND(#REF!,"AAAAAH///zM=")</f>
        <v>#REF!</v>
      </c>
      <c r="BA3" t="e">
        <f>AND(#REF!,"AAAAAH///zQ=")</f>
        <v>#REF!</v>
      </c>
      <c r="BB3" t="e">
        <f>IF(#REF!,"AAAAAH///zU=",0)</f>
        <v>#REF!</v>
      </c>
      <c r="BC3" t="e">
        <f>AND(#REF!,"AAAAAH///zY=")</f>
        <v>#REF!</v>
      </c>
      <c r="BD3" t="e">
        <f>AND(#REF!,"AAAAAH///zc=")</f>
        <v>#REF!</v>
      </c>
      <c r="BE3" t="e">
        <f>AND(#REF!,"AAAAAH///zg=")</f>
        <v>#REF!</v>
      </c>
      <c r="BF3" t="e">
        <f>AND(#REF!,"AAAAAH///zk=")</f>
        <v>#REF!</v>
      </c>
      <c r="BG3" t="e">
        <f>IF(#REF!,"AAAAAH///zo=",0)</f>
        <v>#REF!</v>
      </c>
      <c r="BH3" t="e">
        <f>IF(#REF!,"AAAAAH///zs=",0)</f>
        <v>#REF!</v>
      </c>
      <c r="BI3" t="e">
        <f>IF(#REF!,"AAAAAH///zw=",0)</f>
        <v>#REF!</v>
      </c>
      <c r="BJ3" t="e">
        <f>IF(#REF!,"AAAAAH///z0=",0)</f>
        <v>#REF!</v>
      </c>
      <c r="BK3" t="e">
        <f>IF(#REF!,"AAAAAH///z4=",0)</f>
        <v>#REF!</v>
      </c>
      <c r="BL3" t="e">
        <f>AND(#REF!,"AAAAAH///z8=")</f>
        <v>#REF!</v>
      </c>
      <c r="BM3" t="e">
        <f>AND(#REF!,"AAAAAH///0A=")</f>
        <v>#REF!</v>
      </c>
      <c r="BN3" t="e">
        <f>AND(#REF!,"AAAAAH///0E=")</f>
        <v>#REF!</v>
      </c>
      <c r="BO3" t="e">
        <f>AND(#REF!,"AAAAAH///0I=")</f>
        <v>#REF!</v>
      </c>
      <c r="BP3" t="e">
        <f>AND(#REF!,"AAAAAH///0M=")</f>
        <v>#REF!</v>
      </c>
      <c r="BQ3" t="e">
        <f>AND(#REF!,"AAAAAH///0Q=")</f>
        <v>#REF!</v>
      </c>
      <c r="BR3" t="e">
        <f>AND(#REF!,"AAAAAH///0U=")</f>
        <v>#REF!</v>
      </c>
      <c r="BS3" t="e">
        <f>AND(#REF!,"AAAAAH///0Y=")</f>
        <v>#REF!</v>
      </c>
      <c r="BT3" t="e">
        <f>AND(#REF!,"AAAAAH///0c=")</f>
        <v>#REF!</v>
      </c>
      <c r="BU3" t="e">
        <f>IF(#REF!,"AAAAAH///0g=",0)</f>
        <v>#REF!</v>
      </c>
      <c r="BV3" t="e">
        <f>AND(#REF!,"AAAAAH///0k=")</f>
        <v>#REF!</v>
      </c>
      <c r="BW3" t="e">
        <f>AND(#REF!,"AAAAAH///0o=")</f>
        <v>#REF!</v>
      </c>
      <c r="BX3" t="e">
        <f>AND(#REF!,"AAAAAH///0s=")</f>
        <v>#REF!</v>
      </c>
      <c r="BY3" t="e">
        <f>AND(#REF!,"AAAAAH///0w=")</f>
        <v>#REF!</v>
      </c>
      <c r="BZ3" t="e">
        <f>AND(#REF!,"AAAAAH///00=")</f>
        <v>#REF!</v>
      </c>
      <c r="CA3" t="e">
        <f>AND(#REF!,"AAAAAH///04=")</f>
        <v>#REF!</v>
      </c>
      <c r="CB3" t="e">
        <f>AND(#REF!,"AAAAAH///08=")</f>
        <v>#REF!</v>
      </c>
      <c r="CC3" t="e">
        <f>AND(#REF!,"AAAAAH///1A=")</f>
        <v>#REF!</v>
      </c>
      <c r="CD3" t="e">
        <f>AND(#REF!,"AAAAAH///1E=")</f>
        <v>#REF!</v>
      </c>
      <c r="CE3" t="e">
        <f>IF(#REF!,"AAAAAH///1I=",0)</f>
        <v>#REF!</v>
      </c>
      <c r="CF3" t="e">
        <f>AND(#REF!,"AAAAAH///1M=")</f>
        <v>#REF!</v>
      </c>
      <c r="CG3" t="e">
        <f>AND(#REF!,"AAAAAH///1Q=")</f>
        <v>#REF!</v>
      </c>
      <c r="CH3" t="e">
        <f>AND(#REF!,"AAAAAH///1U=")</f>
        <v>#REF!</v>
      </c>
      <c r="CI3" t="e">
        <f>AND(#REF!,"AAAAAH///1Y=")</f>
        <v>#REF!</v>
      </c>
      <c r="CJ3" t="e">
        <f>AND(#REF!,"AAAAAH///1c=")</f>
        <v>#REF!</v>
      </c>
      <c r="CK3" t="e">
        <f>AND(#REF!,"AAAAAH///1g=")</f>
        <v>#REF!</v>
      </c>
      <c r="CL3" t="e">
        <f>AND(#REF!,"AAAAAH///1k=")</f>
        <v>#REF!</v>
      </c>
      <c r="CM3" t="e">
        <f>AND(#REF!,"AAAAAH///1o=")</f>
        <v>#REF!</v>
      </c>
      <c r="CN3" t="e">
        <f>AND(#REF!,"AAAAAH///1s=")</f>
        <v>#REF!</v>
      </c>
      <c r="CO3" t="e">
        <f>IF(#REF!,"AAAAAH///1w=",0)</f>
        <v>#REF!</v>
      </c>
      <c r="CP3" t="e">
        <f>AND(#REF!,"AAAAAH///10=")</f>
        <v>#REF!</v>
      </c>
      <c r="CQ3" t="e">
        <f>AND(#REF!,"AAAAAH///14=")</f>
        <v>#REF!</v>
      </c>
      <c r="CR3" t="e">
        <f>AND(#REF!,"AAAAAH///18=")</f>
        <v>#REF!</v>
      </c>
      <c r="CS3" t="e">
        <f>AND(#REF!,"AAAAAH///2A=")</f>
        <v>#REF!</v>
      </c>
      <c r="CT3" t="e">
        <f>AND(#REF!,"AAAAAH///2E=")</f>
        <v>#REF!</v>
      </c>
      <c r="CU3" t="e">
        <f>AND(#REF!,"AAAAAH///2I=")</f>
        <v>#REF!</v>
      </c>
      <c r="CV3" t="e">
        <f>AND(#REF!,"AAAAAH///2M=")</f>
        <v>#REF!</v>
      </c>
      <c r="CW3" t="e">
        <f>AND(#REF!,"AAAAAH///2Q=")</f>
        <v>#REF!</v>
      </c>
      <c r="CX3" t="e">
        <f>AND(#REF!,"AAAAAH///2U=")</f>
        <v>#REF!</v>
      </c>
      <c r="CY3" t="e">
        <f>IF(#REF!,"AAAAAH///2Y=",0)</f>
        <v>#REF!</v>
      </c>
      <c r="CZ3" t="e">
        <f>AND(#REF!,"AAAAAH///2c=")</f>
        <v>#REF!</v>
      </c>
      <c r="DA3" t="e">
        <f>AND(#REF!,"AAAAAH///2g=")</f>
        <v>#REF!</v>
      </c>
      <c r="DB3" t="e">
        <f>AND(#REF!,"AAAAAH///2k=")</f>
        <v>#REF!</v>
      </c>
      <c r="DC3" t="e">
        <f>AND(#REF!,"AAAAAH///2o=")</f>
        <v>#REF!</v>
      </c>
      <c r="DD3" t="e">
        <f>AND(#REF!,"AAAAAH///2s=")</f>
        <v>#REF!</v>
      </c>
      <c r="DE3" t="e">
        <f>AND(#REF!,"AAAAAH///2w=")</f>
        <v>#REF!</v>
      </c>
      <c r="DF3" t="e">
        <f>AND(#REF!,"AAAAAH///20=")</f>
        <v>#REF!</v>
      </c>
      <c r="DG3" t="e">
        <f>AND(#REF!,"AAAAAH///24=")</f>
        <v>#REF!</v>
      </c>
      <c r="DH3" t="e">
        <f>AND(#REF!,"AAAAAH///28=")</f>
        <v>#REF!</v>
      </c>
      <c r="DI3" t="e">
        <f>IF(#REF!,"AAAAAH///3A=",0)</f>
        <v>#REF!</v>
      </c>
      <c r="DJ3" t="e">
        <f>AND(#REF!,"AAAAAH///3E=")</f>
        <v>#REF!</v>
      </c>
      <c r="DK3" t="e">
        <f>AND(#REF!,"AAAAAH///3I=")</f>
        <v>#REF!</v>
      </c>
      <c r="DL3" t="e">
        <f>AND(#REF!,"AAAAAH///3M=")</f>
        <v>#REF!</v>
      </c>
      <c r="DM3" t="e">
        <f>AND(#REF!,"AAAAAH///3Q=")</f>
        <v>#REF!</v>
      </c>
      <c r="DN3" t="e">
        <f>AND(#REF!,"AAAAAH///3U=")</f>
        <v>#REF!</v>
      </c>
      <c r="DO3" t="e">
        <f>AND(#REF!,"AAAAAH///3Y=")</f>
        <v>#REF!</v>
      </c>
      <c r="DP3" t="e">
        <f>AND(#REF!,"AAAAAH///3c=")</f>
        <v>#REF!</v>
      </c>
      <c r="DQ3" t="e">
        <f>AND(#REF!,"AAAAAH///3g=")</f>
        <v>#REF!</v>
      </c>
      <c r="DR3" t="e">
        <f>AND(#REF!,"AAAAAH///3k=")</f>
        <v>#REF!</v>
      </c>
      <c r="DS3" t="e">
        <f>IF(#REF!,"AAAAAH///3o=",0)</f>
        <v>#REF!</v>
      </c>
      <c r="DT3" t="e">
        <f>AND(#REF!,"AAAAAH///3s=")</f>
        <v>#REF!</v>
      </c>
      <c r="DU3" t="e">
        <f>AND(#REF!,"AAAAAH///3w=")</f>
        <v>#REF!</v>
      </c>
      <c r="DV3" t="e">
        <f>AND(#REF!,"AAAAAH///30=")</f>
        <v>#REF!</v>
      </c>
      <c r="DW3" t="e">
        <f>AND(#REF!,"AAAAAH///34=")</f>
        <v>#REF!</v>
      </c>
      <c r="DX3" t="e">
        <f>AND(#REF!,"AAAAAH///38=")</f>
        <v>#REF!</v>
      </c>
      <c r="DY3" t="e">
        <f>AND(#REF!,"AAAAAH///4A=")</f>
        <v>#REF!</v>
      </c>
      <c r="DZ3" t="e">
        <f>AND(#REF!,"AAAAAH///4E=")</f>
        <v>#REF!</v>
      </c>
      <c r="EA3" t="e">
        <f>AND(#REF!,"AAAAAH///4I=")</f>
        <v>#REF!</v>
      </c>
      <c r="EB3" t="e">
        <f>AND(#REF!,"AAAAAH///4M=")</f>
        <v>#REF!</v>
      </c>
      <c r="EC3" t="e">
        <f>IF(#REF!,"AAAAAH///4Q=",0)</f>
        <v>#REF!</v>
      </c>
      <c r="ED3" t="e">
        <f>AND(#REF!,"AAAAAH///4U=")</f>
        <v>#REF!</v>
      </c>
      <c r="EE3" t="e">
        <f>AND(#REF!,"AAAAAH///4Y=")</f>
        <v>#REF!</v>
      </c>
      <c r="EF3" t="e">
        <f>AND(#REF!,"AAAAAH///4c=")</f>
        <v>#REF!</v>
      </c>
      <c r="EG3" t="e">
        <f>AND(#REF!,"AAAAAH///4g=")</f>
        <v>#REF!</v>
      </c>
      <c r="EH3" t="e">
        <f>AND(#REF!,"AAAAAH///4k=")</f>
        <v>#REF!</v>
      </c>
      <c r="EI3" t="e">
        <f>AND(#REF!,"AAAAAH///4o=")</f>
        <v>#REF!</v>
      </c>
      <c r="EJ3" t="e">
        <f>AND(#REF!,"AAAAAH///4s=")</f>
        <v>#REF!</v>
      </c>
      <c r="EK3" t="e">
        <f>AND(#REF!,"AAAAAH///4w=")</f>
        <v>#REF!</v>
      </c>
      <c r="EL3" t="e">
        <f>AND(#REF!,"AAAAAH///40=")</f>
        <v>#REF!</v>
      </c>
      <c r="EM3" t="e">
        <f>IF(#REF!,"AAAAAH///44=",0)</f>
        <v>#REF!</v>
      </c>
      <c r="EN3" t="e">
        <f>AND(#REF!,"AAAAAH///48=")</f>
        <v>#REF!</v>
      </c>
      <c r="EO3" t="e">
        <f>AND(#REF!,"AAAAAH///5A=")</f>
        <v>#REF!</v>
      </c>
      <c r="EP3" t="e">
        <f>AND(#REF!,"AAAAAH///5E=")</f>
        <v>#REF!</v>
      </c>
      <c r="EQ3" t="e">
        <f>AND(#REF!,"AAAAAH///5I=")</f>
        <v>#REF!</v>
      </c>
      <c r="ER3" t="e">
        <f>AND(#REF!,"AAAAAH///5M=")</f>
        <v>#REF!</v>
      </c>
      <c r="ES3" t="e">
        <f>AND(#REF!,"AAAAAH///5Q=")</f>
        <v>#REF!</v>
      </c>
      <c r="ET3" t="e">
        <f>AND(#REF!,"AAAAAH///5U=")</f>
        <v>#REF!</v>
      </c>
      <c r="EU3" t="e">
        <f>AND(#REF!,"AAAAAH///5Y=")</f>
        <v>#REF!</v>
      </c>
      <c r="EV3" t="e">
        <f>AND(#REF!,"AAAAAH///5c=")</f>
        <v>#REF!</v>
      </c>
      <c r="EW3" t="e">
        <f>IF(#REF!,"AAAAAH///5g=",0)</f>
        <v>#REF!</v>
      </c>
      <c r="EX3" t="e">
        <f>AND(#REF!,"AAAAAH///5k=")</f>
        <v>#REF!</v>
      </c>
      <c r="EY3" t="e">
        <f>AND(#REF!,"AAAAAH///5o=")</f>
        <v>#REF!</v>
      </c>
      <c r="EZ3" t="e">
        <f>AND(#REF!,"AAAAAH///5s=")</f>
        <v>#REF!</v>
      </c>
      <c r="FA3" t="e">
        <f>AND(#REF!,"AAAAAH///5w=")</f>
        <v>#REF!</v>
      </c>
      <c r="FB3" t="e">
        <f>AND(#REF!,"AAAAAH///50=")</f>
        <v>#REF!</v>
      </c>
      <c r="FC3" t="e">
        <f>AND(#REF!,"AAAAAH///54=")</f>
        <v>#REF!</v>
      </c>
      <c r="FD3" t="e">
        <f>AND(#REF!,"AAAAAH///58=")</f>
        <v>#REF!</v>
      </c>
      <c r="FE3" t="e">
        <f>AND(#REF!,"AAAAAH///6A=")</f>
        <v>#REF!</v>
      </c>
      <c r="FF3" t="e">
        <f>AND(#REF!,"AAAAAH///6E=")</f>
        <v>#REF!</v>
      </c>
      <c r="FG3" t="e">
        <f>IF(#REF!,"AAAAAH///6I=",0)</f>
        <v>#REF!</v>
      </c>
      <c r="FH3" t="e">
        <f>AND(#REF!,"AAAAAH///6M=")</f>
        <v>#REF!</v>
      </c>
      <c r="FI3" t="e">
        <f>AND(#REF!,"AAAAAH///6Q=")</f>
        <v>#REF!</v>
      </c>
      <c r="FJ3" t="e">
        <f>AND(#REF!,"AAAAAH///6U=")</f>
        <v>#REF!</v>
      </c>
      <c r="FK3" t="e">
        <f>AND(#REF!,"AAAAAH///6Y=")</f>
        <v>#REF!</v>
      </c>
      <c r="FL3" t="e">
        <f>AND(#REF!,"AAAAAH///6c=")</f>
        <v>#REF!</v>
      </c>
      <c r="FM3" t="e">
        <f>AND(#REF!,"AAAAAH///6g=")</f>
        <v>#REF!</v>
      </c>
      <c r="FN3" t="e">
        <f>AND(#REF!,"AAAAAH///6k=")</f>
        <v>#REF!</v>
      </c>
      <c r="FO3" t="e">
        <f>AND(#REF!,"AAAAAH///6o=")</f>
        <v>#REF!</v>
      </c>
      <c r="FP3" t="e">
        <f>AND(#REF!,"AAAAAH///6s=")</f>
        <v>#REF!</v>
      </c>
      <c r="FQ3" t="e">
        <f>IF(#REF!,"AAAAAH///6w=",0)</f>
        <v>#REF!</v>
      </c>
      <c r="FR3" t="e">
        <f>IF(#REF!,"AAAAAH///60=",0)</f>
        <v>#REF!</v>
      </c>
      <c r="FS3" t="e">
        <f>IF(#REF!,"AAAAAH///64=",0)</f>
        <v>#REF!</v>
      </c>
      <c r="FT3" t="e">
        <f>IF(#REF!,"AAAAAH///68=",0)</f>
        <v>#REF!</v>
      </c>
      <c r="FU3" t="e">
        <f>IF(#REF!,"AAAAAH///7A=",0)</f>
        <v>#REF!</v>
      </c>
      <c r="FV3" t="e">
        <f>IF(#REF!,"AAAAAH///7E=",0)</f>
        <v>#REF!</v>
      </c>
      <c r="FW3" t="e">
        <f>IF(#REF!,"AAAAAH///7I=",0)</f>
        <v>#REF!</v>
      </c>
      <c r="FX3" t="e">
        <f>IF(#REF!,"AAAAAH///7M=",0)</f>
        <v>#REF!</v>
      </c>
      <c r="FY3" t="e">
        <f>IF(#REF!,"AAAAAH///7Q=",0)</f>
        <v>#REF!</v>
      </c>
      <c r="FZ3" t="e">
        <f>IF(#REF!,"AAAAAH///7U=",0)</f>
        <v>#REF!</v>
      </c>
      <c r="GA3" t="e">
        <f>AND(#REF!,"AAAAAH///7Y=")</f>
        <v>#REF!</v>
      </c>
      <c r="GB3" t="e">
        <f>AND(#REF!,"AAAAAH///7c=")</f>
        <v>#REF!</v>
      </c>
      <c r="GC3" t="e">
        <f>AND(#REF!,"AAAAAH///7g=")</f>
        <v>#REF!</v>
      </c>
      <c r="GD3" t="e">
        <f>AND(#REF!,"AAAAAH///7k=")</f>
        <v>#REF!</v>
      </c>
      <c r="GE3" t="e">
        <f>AND(#REF!,"AAAAAH///7o=")</f>
        <v>#REF!</v>
      </c>
      <c r="GF3" t="e">
        <f>AND(#REF!,"AAAAAH///7s=")</f>
        <v>#REF!</v>
      </c>
      <c r="GG3" t="e">
        <f>AND(#REF!,"AAAAAH///7w=")</f>
        <v>#REF!</v>
      </c>
      <c r="GH3" t="e">
        <f>AND(#REF!,"AAAAAH///70=")</f>
        <v>#REF!</v>
      </c>
      <c r="GI3" t="e">
        <f>AND(#REF!,"AAAAAH///74=")</f>
        <v>#REF!</v>
      </c>
      <c r="GJ3" t="e">
        <f>AND(#REF!,"AAAAAH///78=")</f>
        <v>#REF!</v>
      </c>
      <c r="GK3" t="e">
        <f>IF(#REF!,"AAAAAH///8A=",0)</f>
        <v>#REF!</v>
      </c>
      <c r="GL3" t="e">
        <f>AND(#REF!,"AAAAAH///8E=")</f>
        <v>#REF!</v>
      </c>
      <c r="GM3" t="e">
        <f>AND(#REF!,"AAAAAH///8I=")</f>
        <v>#REF!</v>
      </c>
      <c r="GN3" t="e">
        <f>AND(#REF!,"AAAAAH///8M=")</f>
        <v>#REF!</v>
      </c>
      <c r="GO3" t="e">
        <f>AND(#REF!,"AAAAAH///8Q=")</f>
        <v>#REF!</v>
      </c>
      <c r="GP3" t="e">
        <f>AND(#REF!,"AAAAAH///8U=")</f>
        <v>#REF!</v>
      </c>
      <c r="GQ3" t="e">
        <f>AND(#REF!,"AAAAAH///8Y=")</f>
        <v>#REF!</v>
      </c>
      <c r="GR3" t="e">
        <f>AND(#REF!,"AAAAAH///8c=")</f>
        <v>#REF!</v>
      </c>
      <c r="GS3" t="e">
        <f>AND(#REF!,"AAAAAH///8g=")</f>
        <v>#REF!</v>
      </c>
      <c r="GT3" t="e">
        <f>AND(#REF!,"AAAAAH///8k=")</f>
        <v>#REF!</v>
      </c>
      <c r="GU3" t="e">
        <f>AND(#REF!,"AAAAAH///8o=")</f>
        <v>#REF!</v>
      </c>
      <c r="GV3" t="e">
        <f>IF(#REF!,"AAAAAH///8s=",0)</f>
        <v>#REF!</v>
      </c>
      <c r="GW3" t="e">
        <f>AND(#REF!,"AAAAAH///8w=")</f>
        <v>#REF!</v>
      </c>
      <c r="GX3" t="e">
        <f>AND(#REF!,"AAAAAH///80=")</f>
        <v>#REF!</v>
      </c>
      <c r="GY3" t="e">
        <f>AND(#REF!,"AAAAAH///84=")</f>
        <v>#REF!</v>
      </c>
      <c r="GZ3" t="e">
        <f>AND(#REF!,"AAAAAH///88=")</f>
        <v>#REF!</v>
      </c>
      <c r="HA3" t="e">
        <f>AND(#REF!,"AAAAAH///9A=")</f>
        <v>#REF!</v>
      </c>
      <c r="HB3" t="e">
        <f>AND(#REF!,"AAAAAH///9E=")</f>
        <v>#REF!</v>
      </c>
      <c r="HC3" t="e">
        <f>AND(#REF!,"AAAAAH///9I=")</f>
        <v>#REF!</v>
      </c>
      <c r="HD3" t="e">
        <f>AND(#REF!,"AAAAAH///9M=")</f>
        <v>#REF!</v>
      </c>
      <c r="HE3" t="e">
        <f>AND(#REF!,"AAAAAH///9Q=")</f>
        <v>#REF!</v>
      </c>
      <c r="HF3" t="e">
        <f>AND(#REF!,"AAAAAH///9U=")</f>
        <v>#REF!</v>
      </c>
      <c r="HG3" t="e">
        <f>IF(#REF!,"AAAAAH///9Y=",0)</f>
        <v>#REF!</v>
      </c>
      <c r="HH3" t="e">
        <f>AND(#REF!,"AAAAAH///9c=")</f>
        <v>#REF!</v>
      </c>
      <c r="HI3" t="e">
        <f>AND(#REF!,"AAAAAH///9g=")</f>
        <v>#REF!</v>
      </c>
      <c r="HJ3" t="e">
        <f>AND(#REF!,"AAAAAH///9k=")</f>
        <v>#REF!</v>
      </c>
      <c r="HK3" t="e">
        <f>AND(#REF!,"AAAAAH///9o=")</f>
        <v>#REF!</v>
      </c>
      <c r="HL3" t="e">
        <f>AND(#REF!,"AAAAAH///9s=")</f>
        <v>#REF!</v>
      </c>
      <c r="HM3" t="e">
        <f>AND(#REF!,"AAAAAH///9w=")</f>
        <v>#REF!</v>
      </c>
      <c r="HN3" t="e">
        <f>AND(#REF!,"AAAAAH///90=")</f>
        <v>#REF!</v>
      </c>
      <c r="HO3" t="e">
        <f>AND(#REF!,"AAAAAH///94=")</f>
        <v>#REF!</v>
      </c>
      <c r="HP3" t="e">
        <f>AND(#REF!,"AAAAAH///98=")</f>
        <v>#REF!</v>
      </c>
      <c r="HQ3" t="e">
        <f>AND(#REF!,"AAAAAH///+A=")</f>
        <v>#REF!</v>
      </c>
      <c r="HR3" t="e">
        <f>IF(#REF!,"AAAAAH///+E=",0)</f>
        <v>#REF!</v>
      </c>
      <c r="HS3" t="e">
        <f>AND(#REF!,"AAAAAH///+I=")</f>
        <v>#REF!</v>
      </c>
      <c r="HT3" t="e">
        <f>AND(#REF!,"AAAAAH///+M=")</f>
        <v>#REF!</v>
      </c>
      <c r="HU3" t="e">
        <f>AND(#REF!,"AAAAAH///+Q=")</f>
        <v>#REF!</v>
      </c>
      <c r="HV3" t="e">
        <f>AND(#REF!,"AAAAAH///+U=")</f>
        <v>#REF!</v>
      </c>
      <c r="HW3" t="e">
        <f>AND(#REF!,"AAAAAH///+Y=")</f>
        <v>#REF!</v>
      </c>
      <c r="HX3" t="e">
        <f>AND(#REF!,"AAAAAH///+c=")</f>
        <v>#REF!</v>
      </c>
      <c r="HY3" t="e">
        <f>AND(#REF!,"AAAAAH///+g=")</f>
        <v>#REF!</v>
      </c>
      <c r="HZ3" t="e">
        <f>AND(#REF!,"AAAAAH///+k=")</f>
        <v>#REF!</v>
      </c>
      <c r="IA3" t="e">
        <f>AND(#REF!,"AAAAAH///+o=")</f>
        <v>#REF!</v>
      </c>
      <c r="IB3" t="e">
        <f>AND(#REF!,"AAAAAH///+s=")</f>
        <v>#REF!</v>
      </c>
      <c r="IC3" t="e">
        <f>IF(#REF!,"AAAAAH///+w=",0)</f>
        <v>#REF!</v>
      </c>
      <c r="ID3" t="e">
        <f>AND(#REF!,"AAAAAH///+0=")</f>
        <v>#REF!</v>
      </c>
      <c r="IE3" t="e">
        <f>AND(#REF!,"AAAAAH///+4=")</f>
        <v>#REF!</v>
      </c>
      <c r="IF3" t="e">
        <f>AND(#REF!,"AAAAAH///+8=")</f>
        <v>#REF!</v>
      </c>
      <c r="IG3" t="e">
        <f>AND(#REF!,"AAAAAH////A=")</f>
        <v>#REF!</v>
      </c>
      <c r="IH3" t="e">
        <f>AND(#REF!,"AAAAAH////E=")</f>
        <v>#REF!</v>
      </c>
      <c r="II3" t="e">
        <f>AND(#REF!,"AAAAAH////I=")</f>
        <v>#REF!</v>
      </c>
      <c r="IJ3" t="e">
        <f>AND(#REF!,"AAAAAH////M=")</f>
        <v>#REF!</v>
      </c>
      <c r="IK3" t="e">
        <f>AND(#REF!,"AAAAAH////Q=")</f>
        <v>#REF!</v>
      </c>
      <c r="IL3" t="e">
        <f>AND(#REF!,"AAAAAH////U=")</f>
        <v>#REF!</v>
      </c>
      <c r="IM3" t="e">
        <f>AND(#REF!,"AAAAAH////Y=")</f>
        <v>#REF!</v>
      </c>
      <c r="IN3" t="e">
        <f>IF(#REF!,"AAAAAH////c=",0)</f>
        <v>#REF!</v>
      </c>
      <c r="IO3" t="e">
        <f>AND(#REF!,"AAAAAH////g=")</f>
        <v>#REF!</v>
      </c>
      <c r="IP3" t="e">
        <f>AND(#REF!,"AAAAAH////k=")</f>
        <v>#REF!</v>
      </c>
      <c r="IQ3" t="e">
        <f>AND(#REF!,"AAAAAH////o=")</f>
        <v>#REF!</v>
      </c>
      <c r="IR3" t="e">
        <f>AND(#REF!,"AAAAAH////s=")</f>
        <v>#REF!</v>
      </c>
      <c r="IS3" t="e">
        <f>AND(#REF!,"AAAAAH////w=")</f>
        <v>#REF!</v>
      </c>
      <c r="IT3" t="e">
        <f>AND(#REF!,"AAAAAH////0=")</f>
        <v>#REF!</v>
      </c>
      <c r="IU3" t="e">
        <f>AND(#REF!,"AAAAAH////4=")</f>
        <v>#REF!</v>
      </c>
      <c r="IV3" t="e">
        <f>AND(#REF!,"AAAAAH////8=")</f>
        <v>#REF!</v>
      </c>
    </row>
    <row r="4" spans="1:256">
      <c r="A4" t="e">
        <f>AND(#REF!,"AAAAAE9+1wA=")</f>
        <v>#REF!</v>
      </c>
      <c r="B4" t="e">
        <f>AND(#REF!,"AAAAAE9+1wE=")</f>
        <v>#REF!</v>
      </c>
      <c r="C4" t="e">
        <f>IF(#REF!,"AAAAAE9+1wI=",0)</f>
        <v>#REF!</v>
      </c>
      <c r="D4" t="e">
        <f>AND(#REF!,"AAAAAE9+1wM=")</f>
        <v>#REF!</v>
      </c>
      <c r="E4" t="e">
        <f>AND(#REF!,"AAAAAE9+1wQ=")</f>
        <v>#REF!</v>
      </c>
      <c r="F4" t="e">
        <f>AND(#REF!,"AAAAAE9+1wU=")</f>
        <v>#REF!</v>
      </c>
      <c r="G4" t="e">
        <f>AND(#REF!,"AAAAAE9+1wY=")</f>
        <v>#REF!</v>
      </c>
      <c r="H4" t="e">
        <f>AND(#REF!,"AAAAAE9+1wc=")</f>
        <v>#REF!</v>
      </c>
      <c r="I4" t="e">
        <f>AND(#REF!,"AAAAAE9+1wg=")</f>
        <v>#REF!</v>
      </c>
      <c r="J4" t="e">
        <f>AND(#REF!,"AAAAAE9+1wk=")</f>
        <v>#REF!</v>
      </c>
      <c r="K4" t="e">
        <f>AND(#REF!,"AAAAAE9+1wo=")</f>
        <v>#REF!</v>
      </c>
      <c r="L4" t="e">
        <f>AND(#REF!,"AAAAAE9+1ws=")</f>
        <v>#REF!</v>
      </c>
      <c r="M4" t="e">
        <f>AND(#REF!,"AAAAAE9+1ww=")</f>
        <v>#REF!</v>
      </c>
      <c r="N4" t="e">
        <f>IF(#REF!,"AAAAAE9+1w0=",0)</f>
        <v>#REF!</v>
      </c>
      <c r="O4" t="e">
        <f>AND(#REF!,"AAAAAE9+1w4=")</f>
        <v>#REF!</v>
      </c>
      <c r="P4" t="e">
        <f>AND(#REF!,"AAAAAE9+1w8=")</f>
        <v>#REF!</v>
      </c>
      <c r="Q4" t="e">
        <f>AND(#REF!,"AAAAAE9+1xA=")</f>
        <v>#REF!</v>
      </c>
      <c r="R4" t="e">
        <f>AND(#REF!,"AAAAAE9+1xE=")</f>
        <v>#REF!</v>
      </c>
      <c r="S4" t="e">
        <f>AND(#REF!,"AAAAAE9+1xI=")</f>
        <v>#REF!</v>
      </c>
      <c r="T4" t="e">
        <f>AND(#REF!,"AAAAAE9+1xM=")</f>
        <v>#REF!</v>
      </c>
      <c r="U4" t="e">
        <f>AND(#REF!,"AAAAAE9+1xQ=")</f>
        <v>#REF!</v>
      </c>
      <c r="V4" t="e">
        <f>AND(#REF!,"AAAAAE9+1xU=")</f>
        <v>#REF!</v>
      </c>
      <c r="W4" t="e">
        <f>AND(#REF!,"AAAAAE9+1xY=")</f>
        <v>#REF!</v>
      </c>
      <c r="X4" t="e">
        <f>AND(#REF!,"AAAAAE9+1xc=")</f>
        <v>#REF!</v>
      </c>
      <c r="Y4" t="e">
        <f>IF(#REF!,"AAAAAE9+1xg=",0)</f>
        <v>#REF!</v>
      </c>
      <c r="Z4" t="e">
        <f>AND(#REF!,"AAAAAE9+1xk=")</f>
        <v>#REF!</v>
      </c>
      <c r="AA4" t="e">
        <f>AND(#REF!,"AAAAAE9+1xo=")</f>
        <v>#REF!</v>
      </c>
      <c r="AB4" t="e">
        <f>AND(#REF!,"AAAAAE9+1xs=")</f>
        <v>#REF!</v>
      </c>
      <c r="AC4" t="e">
        <f>AND(#REF!,"AAAAAE9+1xw=")</f>
        <v>#REF!</v>
      </c>
      <c r="AD4" t="e">
        <f>AND(#REF!,"AAAAAE9+1x0=")</f>
        <v>#REF!</v>
      </c>
      <c r="AE4" t="e">
        <f>AND(#REF!,"AAAAAE9+1x4=")</f>
        <v>#REF!</v>
      </c>
      <c r="AF4" t="e">
        <f>AND(#REF!,"AAAAAE9+1x8=")</f>
        <v>#REF!</v>
      </c>
      <c r="AG4" t="e">
        <f>AND(#REF!,"AAAAAE9+1yA=")</f>
        <v>#REF!</v>
      </c>
      <c r="AH4" t="e">
        <f>AND(#REF!,"AAAAAE9+1yE=")</f>
        <v>#REF!</v>
      </c>
      <c r="AI4" t="e">
        <f>AND(#REF!,"AAAAAE9+1yI=")</f>
        <v>#REF!</v>
      </c>
      <c r="AJ4" t="e">
        <f>IF(#REF!,"AAAAAE9+1yM=",0)</f>
        <v>#REF!</v>
      </c>
      <c r="AK4" t="e">
        <f>AND(#REF!,"AAAAAE9+1yQ=")</f>
        <v>#REF!</v>
      </c>
      <c r="AL4" t="e">
        <f>AND(#REF!,"AAAAAE9+1yU=")</f>
        <v>#REF!</v>
      </c>
      <c r="AM4" t="e">
        <f>AND(#REF!,"AAAAAE9+1yY=")</f>
        <v>#REF!</v>
      </c>
      <c r="AN4" t="e">
        <f>AND(#REF!,"AAAAAE9+1yc=")</f>
        <v>#REF!</v>
      </c>
      <c r="AO4" t="e">
        <f>AND(#REF!,"AAAAAE9+1yg=")</f>
        <v>#REF!</v>
      </c>
      <c r="AP4" t="e">
        <f>AND(#REF!,"AAAAAE9+1yk=")</f>
        <v>#REF!</v>
      </c>
      <c r="AQ4" t="e">
        <f>AND(#REF!,"AAAAAE9+1yo=")</f>
        <v>#REF!</v>
      </c>
      <c r="AR4" t="e">
        <f>AND(#REF!,"AAAAAE9+1ys=")</f>
        <v>#REF!</v>
      </c>
      <c r="AS4" t="e">
        <f>AND(#REF!,"AAAAAE9+1yw=")</f>
        <v>#REF!</v>
      </c>
      <c r="AT4" t="e">
        <f>AND(#REF!,"AAAAAE9+1y0=")</f>
        <v>#REF!</v>
      </c>
      <c r="AU4" t="e">
        <f>IF(#REF!,"AAAAAE9+1y4=",0)</f>
        <v>#REF!</v>
      </c>
      <c r="AV4" t="e">
        <f>AND(#REF!,"AAAAAE9+1y8=")</f>
        <v>#REF!</v>
      </c>
      <c r="AW4" t="e">
        <f>AND(#REF!,"AAAAAE9+1zA=")</f>
        <v>#REF!</v>
      </c>
      <c r="AX4" t="e">
        <f>AND(#REF!,"AAAAAE9+1zE=")</f>
        <v>#REF!</v>
      </c>
      <c r="AY4" t="e">
        <f>AND(#REF!,"AAAAAE9+1zI=")</f>
        <v>#REF!</v>
      </c>
      <c r="AZ4" t="e">
        <f>AND(#REF!,"AAAAAE9+1zM=")</f>
        <v>#REF!</v>
      </c>
      <c r="BA4" t="e">
        <f>AND(#REF!,"AAAAAE9+1zQ=")</f>
        <v>#REF!</v>
      </c>
      <c r="BB4" t="e">
        <f>AND(#REF!,"AAAAAE9+1zU=")</f>
        <v>#REF!</v>
      </c>
      <c r="BC4" t="e">
        <f>AND(#REF!,"AAAAAE9+1zY=")</f>
        <v>#REF!</v>
      </c>
      <c r="BD4" t="e">
        <f>AND(#REF!,"AAAAAE9+1zc=")</f>
        <v>#REF!</v>
      </c>
      <c r="BE4" t="e">
        <f>AND(#REF!,"AAAAAE9+1zg=")</f>
        <v>#REF!</v>
      </c>
      <c r="BF4" t="e">
        <f>IF(#REF!,"AAAAAE9+1zk=",0)</f>
        <v>#REF!</v>
      </c>
      <c r="BG4" t="e">
        <f>IF(#REF!,"AAAAAE9+1zo=",0)</f>
        <v>#REF!</v>
      </c>
      <c r="BH4" t="e">
        <f>IF(#REF!,"AAAAAE9+1zs=",0)</f>
        <v>#REF!</v>
      </c>
      <c r="BI4" t="e">
        <f>IF(#REF!,"AAAAAE9+1zw=",0)</f>
        <v>#REF!</v>
      </c>
      <c r="BJ4" t="e">
        <f>IF(#REF!,"AAAAAE9+1z0=",0)</f>
        <v>#REF!</v>
      </c>
      <c r="BK4" t="e">
        <f>IF(#REF!,"AAAAAE9+1z4=",0)</f>
        <v>#REF!</v>
      </c>
      <c r="BL4" t="e">
        <f>IF(#REF!,"AAAAAE9+1z8=",0)</f>
        <v>#REF!</v>
      </c>
      <c r="BM4" t="e">
        <f>IF(#REF!,"AAAAAE9+10A=",0)</f>
        <v>#REF!</v>
      </c>
      <c r="BN4" t="e">
        <f>IF(#REF!,"AAAAAE9+10E=",0)</f>
        <v>#REF!</v>
      </c>
      <c r="BO4" t="e">
        <f>IF(#REF!,"AAAAAE9+10I=",0)</f>
        <v>#REF!</v>
      </c>
      <c r="BP4" t="e">
        <f>IF(#REF!,"AAAAAE9+10M=",0)</f>
        <v>#REF!</v>
      </c>
      <c r="BQ4" t="e">
        <f>AND(#REF!,"AAAAAE9+10Q=")</f>
        <v>#REF!</v>
      </c>
      <c r="BR4" t="e">
        <f>AND(#REF!,"AAAAAE9+10U=")</f>
        <v>#REF!</v>
      </c>
      <c r="BS4" t="e">
        <f>AND(#REF!,"AAAAAE9+10Y=")</f>
        <v>#REF!</v>
      </c>
      <c r="BT4" t="e">
        <f>IF(#REF!,"AAAAAE9+10c=",0)</f>
        <v>#REF!</v>
      </c>
      <c r="BU4" t="e">
        <f>AND(#REF!,"AAAAAE9+10g=")</f>
        <v>#REF!</v>
      </c>
      <c r="BV4" t="e">
        <f>AND(#REF!,"AAAAAE9+10k=")</f>
        <v>#REF!</v>
      </c>
      <c r="BW4" t="e">
        <f>AND(#REF!,"AAAAAE9+10o=")</f>
        <v>#REF!</v>
      </c>
      <c r="BX4" t="e">
        <f>IF(#REF!,"AAAAAE9+10s=",0)</f>
        <v>#REF!</v>
      </c>
      <c r="BY4" t="e">
        <f>AND(#REF!,"AAAAAE9+10w=")</f>
        <v>#REF!</v>
      </c>
      <c r="BZ4" t="e">
        <f>AND(#REF!,"AAAAAE9+100=")</f>
        <v>#REF!</v>
      </c>
      <c r="CA4" t="e">
        <f>AND(#REF!,"AAAAAE9+104=")</f>
        <v>#REF!</v>
      </c>
      <c r="CB4" t="e">
        <f>IF(#REF!,"AAAAAE9+108=",0)</f>
        <v>#REF!</v>
      </c>
      <c r="CC4" t="e">
        <f>AND(#REF!,"AAAAAE9+11A=")</f>
        <v>#REF!</v>
      </c>
      <c r="CD4" t="e">
        <f>IF(#REF!,"AAAAAE9+11E=",0)</f>
        <v>#REF!</v>
      </c>
      <c r="CE4" t="e">
        <f>AND(#REF!,"AAAAAE9+11I=")</f>
        <v>#REF!</v>
      </c>
      <c r="CF4" t="e">
        <f>IF(#REF!,"AAAAAE9+11M=",0)</f>
        <v>#REF!</v>
      </c>
      <c r="CG4" t="e">
        <f>AND(#REF!,"AAAAAE9+11Q=")</f>
        <v>#REF!</v>
      </c>
      <c r="CH4" t="e">
        <f>IF(#REF!,"AAAAAE9+11U=",0)</f>
        <v>#REF!</v>
      </c>
      <c r="CI4" t="e">
        <f>AND(#REF!,"AAAAAE9+11Y=")</f>
        <v>#REF!</v>
      </c>
      <c r="CJ4" t="e">
        <f>IF(#REF!,"AAAAAE9+11c=",0)</f>
        <v>#REF!</v>
      </c>
      <c r="CK4" t="e">
        <f>AND(#REF!,"AAAAAE9+11g=")</f>
        <v>#REF!</v>
      </c>
      <c r="CL4" t="e">
        <f>IF(#REF!,"AAAAAE9+11k=",0)</f>
        <v>#REF!</v>
      </c>
      <c r="CM4" t="e">
        <f>AND(#REF!,"AAAAAE9+11o=")</f>
        <v>#REF!</v>
      </c>
      <c r="CN4" t="e">
        <f>IF(#REF!,"AAAAAE9+11s=",0)</f>
        <v>#REF!</v>
      </c>
      <c r="CO4" t="e">
        <f>AND(#REF!,"AAAAAE9+11w=")</f>
        <v>#REF!</v>
      </c>
      <c r="CP4" t="e">
        <f>IF(#REF!,"AAAAAE9+110=",0)</f>
        <v>#REF!</v>
      </c>
      <c r="CQ4" t="e">
        <f>AND(#REF!,"AAAAAE9+114=")</f>
        <v>#REF!</v>
      </c>
      <c r="CR4" t="e">
        <f>IF(#REF!,"AAAAAE9+118=",0)</f>
        <v>#REF!</v>
      </c>
      <c r="CS4" t="e">
        <f>AND(#REF!,"AAAAAE9+12A=")</f>
        <v>#REF!</v>
      </c>
      <c r="CT4" t="e">
        <f>IF(#REF!,"AAAAAE9+12E=",0)</f>
        <v>#REF!</v>
      </c>
      <c r="CU4" t="e">
        <f>AND(#REF!,"AAAAAE9+12I=")</f>
        <v>#REF!</v>
      </c>
      <c r="CV4" t="e">
        <f>IF(#REF!,"AAAAAE9+12M=",0)</f>
        <v>#REF!</v>
      </c>
      <c r="CW4" t="e">
        <f>AND(#REF!,"AAAAAE9+12Q=")</f>
        <v>#REF!</v>
      </c>
      <c r="CX4" t="e">
        <f>IF(#REF!,"AAAAAE9+12U=",0)</f>
        <v>#REF!</v>
      </c>
      <c r="CY4" t="e">
        <f>IF(#REF!,"AAAAAE9+12Y=",0)</f>
        <v>#REF!</v>
      </c>
      <c r="CZ4" t="e">
        <f>IF(#REF!,"AAAAAE9+12c=",0)</f>
        <v>#REF!</v>
      </c>
      <c r="DA4" t="e">
        <f>IF(#REF!,"AAAAAE9+12g=",0)</f>
        <v>#REF!</v>
      </c>
      <c r="DB4" t="e">
        <f>AND(#REF!,"AAAAAE9+12k=")</f>
        <v>#REF!</v>
      </c>
      <c r="DC4" t="e">
        <f>AND(#REF!,"AAAAAE9+12o=")</f>
        <v>#REF!</v>
      </c>
      <c r="DD4" t="e">
        <f>AND(#REF!,"AAAAAE9+12s=")</f>
        <v>#REF!</v>
      </c>
      <c r="DE4" t="e">
        <f>AND(#REF!,"AAAAAE9+12w=")</f>
        <v>#REF!</v>
      </c>
      <c r="DF4" t="e">
        <f>IF(#REF!,"AAAAAE9+120=",0)</f>
        <v>#REF!</v>
      </c>
      <c r="DG4" t="e">
        <f>AND(#REF!,"AAAAAE9+124=")</f>
        <v>#REF!</v>
      </c>
      <c r="DH4" t="e">
        <f>AND(#REF!,"AAAAAE9+128=")</f>
        <v>#REF!</v>
      </c>
      <c r="DI4" t="e">
        <f>AND(#REF!,"AAAAAE9+13A=")</f>
        <v>#REF!</v>
      </c>
      <c r="DJ4" t="e">
        <f>AND(#REF!,"AAAAAE9+13E=")</f>
        <v>#REF!</v>
      </c>
      <c r="DK4" t="e">
        <f>IF(#REF!,"AAAAAE9+13I=",0)</f>
        <v>#REF!</v>
      </c>
      <c r="DL4" t="e">
        <f>AND(#REF!,"AAAAAE9+13M=")</f>
        <v>#REF!</v>
      </c>
      <c r="DM4" t="e">
        <f>AND(#REF!,"AAAAAE9+13Q=")</f>
        <v>#REF!</v>
      </c>
      <c r="DN4" t="e">
        <f>AND(#REF!,"AAAAAE9+13U=")</f>
        <v>#REF!</v>
      </c>
      <c r="DO4" t="e">
        <f>AND(#REF!,"AAAAAE9+13Y=")</f>
        <v>#REF!</v>
      </c>
      <c r="DP4" t="e">
        <f>IF(#REF!,"AAAAAE9+13c=",0)</f>
        <v>#REF!</v>
      </c>
      <c r="DQ4" t="e">
        <f>AND(#REF!,"AAAAAE9+13g=")</f>
        <v>#REF!</v>
      </c>
      <c r="DR4" t="e">
        <f>AND(#REF!,"AAAAAE9+13k=")</f>
        <v>#REF!</v>
      </c>
      <c r="DS4" t="e">
        <f>AND(#REF!,"AAAAAE9+13o=")</f>
        <v>#REF!</v>
      </c>
      <c r="DT4" t="e">
        <f>AND(#REF!,"AAAAAE9+13s=")</f>
        <v>#REF!</v>
      </c>
      <c r="DU4" t="e">
        <f>IF(#REF!,"AAAAAE9+13w=",0)</f>
        <v>#REF!</v>
      </c>
      <c r="DV4" t="e">
        <f>AND(#REF!,"AAAAAE9+130=")</f>
        <v>#REF!</v>
      </c>
      <c r="DW4" t="e">
        <f>AND(#REF!,"AAAAAE9+134=")</f>
        <v>#REF!</v>
      </c>
      <c r="DX4" t="e">
        <f>AND(#REF!,"AAAAAE9+138=")</f>
        <v>#REF!</v>
      </c>
      <c r="DY4" t="e">
        <f>AND(#REF!,"AAAAAE9+14A=")</f>
        <v>#REF!</v>
      </c>
      <c r="DZ4" t="e">
        <f>IF(#REF!,"AAAAAE9+14E=",0)</f>
        <v>#REF!</v>
      </c>
      <c r="EA4" t="e">
        <f>AND(#REF!,"AAAAAE9+14I=")</f>
        <v>#REF!</v>
      </c>
      <c r="EB4" t="e">
        <f>AND(#REF!,"AAAAAE9+14M=")</f>
        <v>#REF!</v>
      </c>
      <c r="EC4" t="e">
        <f>AND(#REF!,"AAAAAE9+14Q=")</f>
        <v>#REF!</v>
      </c>
      <c r="ED4" t="e">
        <f>AND(#REF!,"AAAAAE9+14U=")</f>
        <v>#REF!</v>
      </c>
      <c r="EE4" t="e">
        <f>IF(#REF!,"AAAAAE9+14Y=",0)</f>
        <v>#REF!</v>
      </c>
      <c r="EF4" t="e">
        <f>AND(#REF!,"AAAAAE9+14c=")</f>
        <v>#REF!</v>
      </c>
      <c r="EG4" t="e">
        <f>AND(#REF!,"AAAAAE9+14g=")</f>
        <v>#REF!</v>
      </c>
      <c r="EH4" t="e">
        <f>AND(#REF!,"AAAAAE9+14k=")</f>
        <v>#REF!</v>
      </c>
      <c r="EI4" t="e">
        <f>AND(#REF!,"AAAAAE9+14o=")</f>
        <v>#REF!</v>
      </c>
      <c r="EJ4" t="e">
        <f>IF(#REF!,"AAAAAE9+14s=",0)</f>
        <v>#REF!</v>
      </c>
      <c r="EK4" t="e">
        <f>AND(#REF!,"AAAAAE9+14w=")</f>
        <v>#REF!</v>
      </c>
      <c r="EL4" t="e">
        <f>AND(#REF!,"AAAAAE9+140=")</f>
        <v>#REF!</v>
      </c>
      <c r="EM4" t="e">
        <f>AND(#REF!,"AAAAAE9+144=")</f>
        <v>#REF!</v>
      </c>
      <c r="EN4" t="e">
        <f>AND(#REF!,"AAAAAE9+148=")</f>
        <v>#REF!</v>
      </c>
      <c r="EO4" t="e">
        <f>IF(#REF!,"AAAAAE9+15A=",0)</f>
        <v>#REF!</v>
      </c>
      <c r="EP4" t="e">
        <f>AND(#REF!,"AAAAAE9+15E=")</f>
        <v>#REF!</v>
      </c>
      <c r="EQ4" t="e">
        <f>AND(#REF!,"AAAAAE9+15I=")</f>
        <v>#REF!</v>
      </c>
      <c r="ER4" t="e">
        <f>AND(#REF!,"AAAAAE9+15M=")</f>
        <v>#REF!</v>
      </c>
      <c r="ES4" t="e">
        <f>AND(#REF!,"AAAAAE9+15Q=")</f>
        <v>#REF!</v>
      </c>
      <c r="ET4" t="e">
        <f>IF(#REF!,"AAAAAE9+15U=",0)</f>
        <v>#REF!</v>
      </c>
      <c r="EU4" t="e">
        <f>AND(#REF!,"AAAAAE9+15Y=")</f>
        <v>#REF!</v>
      </c>
      <c r="EV4" t="e">
        <f>AND(#REF!,"AAAAAE9+15c=")</f>
        <v>#REF!</v>
      </c>
      <c r="EW4" t="e">
        <f>AND(#REF!,"AAAAAE9+15g=")</f>
        <v>#REF!</v>
      </c>
      <c r="EX4" t="e">
        <f>AND(#REF!,"AAAAAE9+15k=")</f>
        <v>#REF!</v>
      </c>
      <c r="EY4" t="e">
        <f>IF(#REF!,"AAAAAE9+15o=",0)</f>
        <v>#REF!</v>
      </c>
      <c r="EZ4" t="e">
        <f>AND(#REF!,"AAAAAE9+15s=")</f>
        <v>#REF!</v>
      </c>
      <c r="FA4" t="e">
        <f>AND(#REF!,"AAAAAE9+15w=")</f>
        <v>#REF!</v>
      </c>
      <c r="FB4" t="e">
        <f>AND(#REF!,"AAAAAE9+150=")</f>
        <v>#REF!</v>
      </c>
      <c r="FC4" t="e">
        <f>AND(#REF!,"AAAAAE9+154=")</f>
        <v>#REF!</v>
      </c>
      <c r="FD4" t="e">
        <f>IF(#REF!,"AAAAAE9+158=",0)</f>
        <v>#REF!</v>
      </c>
      <c r="FE4" t="e">
        <f>AND(#REF!,"AAAAAE9+16A=")</f>
        <v>#REF!</v>
      </c>
      <c r="FF4" t="e">
        <f>AND(#REF!,"AAAAAE9+16E=")</f>
        <v>#REF!</v>
      </c>
      <c r="FG4" t="e">
        <f>AND(#REF!,"AAAAAE9+16I=")</f>
        <v>#REF!</v>
      </c>
      <c r="FH4" t="e">
        <f>AND(#REF!,"AAAAAE9+16M=")</f>
        <v>#REF!</v>
      </c>
      <c r="FI4" t="e">
        <f>IF(#REF!,"AAAAAE9+16Q=",0)</f>
        <v>#REF!</v>
      </c>
      <c r="FJ4" t="e">
        <f>IF(#REF!,"AAAAAE9+16U=",0)</f>
        <v>#REF!</v>
      </c>
      <c r="FK4" t="e">
        <f>IF(#REF!,"AAAAAE9+16Y=",0)</f>
        <v>#REF!</v>
      </c>
      <c r="FL4" t="e">
        <f>IF(#REF!,"AAAAAE9+16c=",0)</f>
        <v>#REF!</v>
      </c>
      <c r="FM4" t="e">
        <f>IF(#REF!,"AAAAAE9+16g=",0)</f>
        <v>#REF!</v>
      </c>
      <c r="FN4" t="e">
        <f>AND(#REF!,"AAAAAE9+16k=")</f>
        <v>#REF!</v>
      </c>
      <c r="FO4" t="e">
        <f>AND(#REF!,"AAAAAE9+16o=")</f>
        <v>#REF!</v>
      </c>
      <c r="FP4" t="e">
        <f>AND(#REF!,"AAAAAE9+16s=")</f>
        <v>#REF!</v>
      </c>
      <c r="FQ4" t="e">
        <f>AND(#REF!,"AAAAAE9+16w=")</f>
        <v>#REF!</v>
      </c>
      <c r="FR4" t="e">
        <f>AND(#REF!,"AAAAAE9+160=")</f>
        <v>#REF!</v>
      </c>
      <c r="FS4" t="e">
        <f>IF(#REF!,"AAAAAE9+164=",0)</f>
        <v>#REF!</v>
      </c>
      <c r="FT4" t="e">
        <f>AND(#REF!,"AAAAAE9+168=")</f>
        <v>#REF!</v>
      </c>
      <c r="FU4" t="e">
        <f>AND(#REF!,"AAAAAE9+17A=")</f>
        <v>#REF!</v>
      </c>
      <c r="FV4" t="e">
        <f>AND(#REF!,"AAAAAE9+17E=")</f>
        <v>#REF!</v>
      </c>
      <c r="FW4" t="e">
        <f>AND(#REF!,"AAAAAE9+17I=")</f>
        <v>#REF!</v>
      </c>
      <c r="FX4" t="e">
        <f>AND(#REF!,"AAAAAE9+17M=")</f>
        <v>#REF!</v>
      </c>
      <c r="FY4" t="e">
        <f>IF(#REF!,"AAAAAE9+17Q=",0)</f>
        <v>#REF!</v>
      </c>
      <c r="FZ4" t="e">
        <f>AND(#REF!,"AAAAAE9+17U=")</f>
        <v>#REF!</v>
      </c>
      <c r="GA4" t="e">
        <f>AND(#REF!,"AAAAAE9+17Y=")</f>
        <v>#REF!</v>
      </c>
      <c r="GB4" t="e">
        <f>AND(#REF!,"AAAAAE9+17c=")</f>
        <v>#REF!</v>
      </c>
      <c r="GC4" t="e">
        <f>AND(#REF!,"AAAAAE9+17g=")</f>
        <v>#REF!</v>
      </c>
      <c r="GD4" t="e">
        <f>AND(#REF!,"AAAAAE9+17k=")</f>
        <v>#REF!</v>
      </c>
      <c r="GE4" t="e">
        <f>IF(#REF!,"AAAAAE9+17o=",0)</f>
        <v>#REF!</v>
      </c>
      <c r="GF4" t="e">
        <f>AND(#REF!,"AAAAAE9+17s=")</f>
        <v>#REF!</v>
      </c>
      <c r="GG4" t="e">
        <f>IF(#REF!,"AAAAAE9+17w=",0)</f>
        <v>#REF!</v>
      </c>
      <c r="GH4" t="e">
        <f>AND(#REF!,"AAAAAE9+170=")</f>
        <v>#REF!</v>
      </c>
      <c r="GI4" t="e">
        <f>IF(#REF!,"AAAAAE9+174=",0)</f>
        <v>#REF!</v>
      </c>
      <c r="GJ4" t="e">
        <f>AND(#REF!,"AAAAAE9+178=")</f>
        <v>#REF!</v>
      </c>
      <c r="GK4" t="e">
        <f>IF(#REF!,"AAAAAE9+18A=",0)</f>
        <v>#REF!</v>
      </c>
      <c r="GL4" t="e">
        <f>AND(#REF!,"AAAAAE9+18E=")</f>
        <v>#REF!</v>
      </c>
      <c r="GM4" t="e">
        <f>IF(#REF!,"AAAAAE9+18I=",0)</f>
        <v>#REF!</v>
      </c>
      <c r="GN4" t="e">
        <f>AND(#REF!,"AAAAAE9+18M=")</f>
        <v>#REF!</v>
      </c>
      <c r="GO4" t="e">
        <f>IF(#REF!,"AAAAAE9+18Q=",0)</f>
        <v>#REF!</v>
      </c>
      <c r="GP4" t="e">
        <f>IF(#REF!,"AAAAAE9+18U=",0)</f>
        <v>#REF!</v>
      </c>
      <c r="GQ4" t="e">
        <f>IF(#REF!,"AAAAAE9+18Y=",0)</f>
        <v>#REF!</v>
      </c>
      <c r="GR4" t="e">
        <f>IF(#REF!,"AAAAAE9+18c=",0)</f>
        <v>#REF!</v>
      </c>
      <c r="GS4" t="e">
        <f>IF(#REF!,"AAAAAE9+18g=",0)</f>
        <v>#REF!</v>
      </c>
      <c r="GT4" t="e">
        <f>IF(#REF!,"AAAAAE9+18k=",0)</f>
        <v>#REF!</v>
      </c>
      <c r="GU4" t="e">
        <f>AND(#REF!,"AAAAAE9+18o=")</f>
        <v>#REF!</v>
      </c>
      <c r="GV4" t="e">
        <f>AND(#REF!,"AAAAAE9+18s=")</f>
        <v>#REF!</v>
      </c>
      <c r="GW4" t="e">
        <f>AND(#REF!,"AAAAAE9+18w=")</f>
        <v>#REF!</v>
      </c>
      <c r="GX4" t="e">
        <f>AND(#REF!,"AAAAAE9+180=")</f>
        <v>#REF!</v>
      </c>
      <c r="GY4" t="e">
        <f>IF(#REF!,"AAAAAE9+184=",0)</f>
        <v>#REF!</v>
      </c>
      <c r="GZ4" t="e">
        <f>AND(#REF!,"AAAAAE9+188=")</f>
        <v>#REF!</v>
      </c>
      <c r="HA4" t="e">
        <f>AND(#REF!,"AAAAAE9+19A=")</f>
        <v>#REF!</v>
      </c>
      <c r="HB4" t="e">
        <f>AND(#REF!,"AAAAAE9+19E=")</f>
        <v>#REF!</v>
      </c>
      <c r="HC4" t="e">
        <f>AND(#REF!,"AAAAAE9+19I=")</f>
        <v>#REF!</v>
      </c>
      <c r="HD4" t="e">
        <f>IF(#REF!,"AAAAAE9+19M=",0)</f>
        <v>#REF!</v>
      </c>
      <c r="HE4" t="e">
        <f>AND(#REF!,"AAAAAE9+19Q=")</f>
        <v>#REF!</v>
      </c>
      <c r="HF4" t="e">
        <f>AND(#REF!,"AAAAAE9+19U=")</f>
        <v>#REF!</v>
      </c>
      <c r="HG4" t="e">
        <f>AND(#REF!,"AAAAAE9+19Y=")</f>
        <v>#REF!</v>
      </c>
      <c r="HH4" t="e">
        <f>AND(#REF!,"AAAAAE9+19c=")</f>
        <v>#REF!</v>
      </c>
      <c r="HI4" t="e">
        <f>IF(#REF!,"AAAAAE9+19g=",0)</f>
        <v>#REF!</v>
      </c>
      <c r="HJ4" t="e">
        <f>AND(#REF!,"AAAAAE9+19k=")</f>
        <v>#REF!</v>
      </c>
      <c r="HK4" t="e">
        <f>AND(#REF!,"AAAAAE9+19o=")</f>
        <v>#REF!</v>
      </c>
      <c r="HL4" t="e">
        <f>AND(#REF!,"AAAAAE9+19s=")</f>
        <v>#REF!</v>
      </c>
      <c r="HM4" t="e">
        <f>AND(#REF!,"AAAAAE9+19w=")</f>
        <v>#REF!</v>
      </c>
      <c r="HN4" t="e">
        <f>IF(#REF!,"AAAAAE9+190=",0)</f>
        <v>#REF!</v>
      </c>
      <c r="HO4" t="e">
        <f>AND(#REF!,"AAAAAE9+194=")</f>
        <v>#REF!</v>
      </c>
      <c r="HP4" t="e">
        <f>AND(#REF!,"AAAAAE9+198=")</f>
        <v>#REF!</v>
      </c>
      <c r="HQ4" t="e">
        <f>AND(#REF!,"AAAAAE9+1+A=")</f>
        <v>#REF!</v>
      </c>
      <c r="HR4" t="e">
        <f>AND(#REF!,"AAAAAE9+1+E=")</f>
        <v>#REF!</v>
      </c>
      <c r="HS4" t="e">
        <f>IF(#REF!,"AAAAAE9+1+I=",0)</f>
        <v>#REF!</v>
      </c>
      <c r="HT4" t="e">
        <f>AND(#REF!,"AAAAAE9+1+M=")</f>
        <v>#REF!</v>
      </c>
      <c r="HU4" t="e">
        <f>AND(#REF!,"AAAAAE9+1+Q=")</f>
        <v>#REF!</v>
      </c>
      <c r="HV4" t="e">
        <f>AND(#REF!,"AAAAAE9+1+U=")</f>
        <v>#REF!</v>
      </c>
      <c r="HW4" t="e">
        <f>AND(#REF!,"AAAAAE9+1+Y=")</f>
        <v>#REF!</v>
      </c>
      <c r="HX4" t="e">
        <f>IF(#REF!,"AAAAAE9+1+c=",0)</f>
        <v>#REF!</v>
      </c>
      <c r="HY4" t="e">
        <f>AND(#REF!,"AAAAAE9+1+g=")</f>
        <v>#REF!</v>
      </c>
      <c r="HZ4" t="e">
        <f>AND(#REF!,"AAAAAE9+1+k=")</f>
        <v>#REF!</v>
      </c>
      <c r="IA4" t="e">
        <f>AND(#REF!,"AAAAAE9+1+o=")</f>
        <v>#REF!</v>
      </c>
      <c r="IB4" t="e">
        <f>AND(#REF!,"AAAAAE9+1+s=")</f>
        <v>#REF!</v>
      </c>
      <c r="IC4" t="e">
        <f>IF(#REF!,"AAAAAE9+1+w=",0)</f>
        <v>#REF!</v>
      </c>
      <c r="ID4" t="e">
        <f>AND(#REF!,"AAAAAE9+1+0=")</f>
        <v>#REF!</v>
      </c>
      <c r="IE4" t="e">
        <f>AND(#REF!,"AAAAAE9+1+4=")</f>
        <v>#REF!</v>
      </c>
      <c r="IF4" t="e">
        <f>AND(#REF!,"AAAAAE9+1+8=")</f>
        <v>#REF!</v>
      </c>
      <c r="IG4" t="e">
        <f>AND(#REF!,"AAAAAE9+1/A=")</f>
        <v>#REF!</v>
      </c>
      <c r="IH4" t="e">
        <f>IF(#REF!,"AAAAAE9+1/E=",0)</f>
        <v>#REF!</v>
      </c>
      <c r="II4" t="e">
        <f>AND(#REF!,"AAAAAE9+1/I=")</f>
        <v>#REF!</v>
      </c>
      <c r="IJ4" t="e">
        <f>AND(#REF!,"AAAAAE9+1/M=")</f>
        <v>#REF!</v>
      </c>
      <c r="IK4" t="e">
        <f>AND(#REF!,"AAAAAE9+1/Q=")</f>
        <v>#REF!</v>
      </c>
      <c r="IL4" t="e">
        <f>AND(#REF!,"AAAAAE9+1/U=")</f>
        <v>#REF!</v>
      </c>
      <c r="IM4" t="e">
        <f>IF(#REF!,"AAAAAE9+1/Y=",0)</f>
        <v>#REF!</v>
      </c>
      <c r="IN4" t="e">
        <f>AND(#REF!,"AAAAAE9+1/c=")</f>
        <v>#REF!</v>
      </c>
      <c r="IO4" t="e">
        <f>AND(#REF!,"AAAAAE9+1/g=")</f>
        <v>#REF!</v>
      </c>
      <c r="IP4" t="e">
        <f>AND(#REF!,"AAAAAE9+1/k=")</f>
        <v>#REF!</v>
      </c>
      <c r="IQ4" t="e">
        <f>AND(#REF!,"AAAAAE9+1/o=")</f>
        <v>#REF!</v>
      </c>
      <c r="IR4" t="e">
        <f>IF(#REF!,"AAAAAE9+1/s=",0)</f>
        <v>#REF!</v>
      </c>
      <c r="IS4" t="e">
        <f>AND(#REF!,"AAAAAE9+1/w=")</f>
        <v>#REF!</v>
      </c>
      <c r="IT4" t="e">
        <f>IF(#REF!,"AAAAAE9+1/0=",0)</f>
        <v>#REF!</v>
      </c>
      <c r="IU4" t="e">
        <f>IF(#REF!,"AAAAAE9+1/4=",0)</f>
        <v>#REF!</v>
      </c>
      <c r="IV4" t="e">
        <f>IF(#REF!,"AAAAAE9+1/8=",0)</f>
        <v>#REF!</v>
      </c>
    </row>
    <row r="5" spans="1:256">
      <c r="A5" t="e">
        <f>IF(#REF!,"AAAAAFt/qwA=",0)</f>
        <v>#REF!</v>
      </c>
      <c r="B5" t="e">
        <f>IF(#REF!,"AAAAAFt/qwE=",0)</f>
        <v>#REF!</v>
      </c>
      <c r="C5" t="e">
        <f>AND(#REF!,"AAAAAFt/qwI=")</f>
        <v>#REF!</v>
      </c>
      <c r="D5" t="e">
        <f>AND(#REF!,"AAAAAFt/qwM=")</f>
        <v>#REF!</v>
      </c>
      <c r="E5" t="e">
        <f>AND(#REF!,"AAAAAFt/qwQ=")</f>
        <v>#REF!</v>
      </c>
      <c r="F5" t="e">
        <f>IF(#REF!,"AAAAAFt/qwU=",0)</f>
        <v>#REF!</v>
      </c>
      <c r="G5" t="e">
        <f>AND(#REF!,"AAAAAFt/qwY=")</f>
        <v>#REF!</v>
      </c>
      <c r="H5" t="e">
        <f>AND(#REF!,"AAAAAFt/qwc=")</f>
        <v>#REF!</v>
      </c>
      <c r="I5" t="e">
        <f>AND(#REF!,"AAAAAFt/qwg=")</f>
        <v>#REF!</v>
      </c>
      <c r="J5" t="e">
        <f>IF(#REF!,"AAAAAFt/qwk=",0)</f>
        <v>#REF!</v>
      </c>
      <c r="K5" t="e">
        <f>AND(#REF!,"AAAAAFt/qwo=")</f>
        <v>#REF!</v>
      </c>
      <c r="L5" t="e">
        <f>AND(#REF!,"AAAAAFt/qws=")</f>
        <v>#REF!</v>
      </c>
      <c r="M5" t="e">
        <f>AND(#REF!,"AAAAAFt/qww=")</f>
        <v>#REF!</v>
      </c>
      <c r="N5" t="e">
        <f>IF(#REF!,"AAAAAFt/qw0=",0)</f>
        <v>#REF!</v>
      </c>
      <c r="O5" t="e">
        <f>AND(#REF!,"AAAAAFt/qw4=")</f>
        <v>#REF!</v>
      </c>
      <c r="P5" t="e">
        <f>AND(#REF!,"AAAAAFt/qw8=")</f>
        <v>#REF!</v>
      </c>
      <c r="Q5" t="e">
        <f>AND(#REF!,"AAAAAFt/qxA=")</f>
        <v>#REF!</v>
      </c>
      <c r="R5" t="e">
        <f>IF(#REF!,"AAAAAFt/qxE=",0)</f>
        <v>#REF!</v>
      </c>
      <c r="S5" t="e">
        <f>AND(#REF!,"AAAAAFt/qxI=")</f>
        <v>#REF!</v>
      </c>
      <c r="T5" t="e">
        <f>AND(#REF!,"AAAAAFt/qxM=")</f>
        <v>#REF!</v>
      </c>
      <c r="U5" t="e">
        <f>AND(#REF!,"AAAAAFt/qxQ=")</f>
        <v>#REF!</v>
      </c>
      <c r="V5" t="e">
        <f>IF(#REF!,"AAAAAFt/qxU=",0)</f>
        <v>#REF!</v>
      </c>
      <c r="W5" t="e">
        <f>AND(#REF!,"AAAAAFt/qxY=")</f>
        <v>#REF!</v>
      </c>
      <c r="X5" t="e">
        <f>AND(#REF!,"AAAAAFt/qxc=")</f>
        <v>#REF!</v>
      </c>
      <c r="Y5" t="e">
        <f>AND(#REF!,"AAAAAFt/qxg=")</f>
        <v>#REF!</v>
      </c>
      <c r="Z5" t="e">
        <f>IF(#REF!,"AAAAAFt/qxk=",0)</f>
        <v>#REF!</v>
      </c>
      <c r="AA5" t="e">
        <f>AND(#REF!,"AAAAAFt/qxo=")</f>
        <v>#REF!</v>
      </c>
      <c r="AB5" t="e">
        <f>AND(#REF!,"AAAAAFt/qxs=")</f>
        <v>#REF!</v>
      </c>
      <c r="AC5" t="e">
        <f>AND(#REF!,"AAAAAFt/qxw=")</f>
        <v>#REF!</v>
      </c>
      <c r="AD5" t="e">
        <f>IF(#REF!,"AAAAAFt/qx0=",0)</f>
        <v>#REF!</v>
      </c>
      <c r="AE5" t="e">
        <f>AND(#REF!,"AAAAAFt/qx4=")</f>
        <v>#REF!</v>
      </c>
      <c r="AF5" t="e">
        <f>AND(#REF!,"AAAAAFt/qx8=")</f>
        <v>#REF!</v>
      </c>
      <c r="AG5" t="e">
        <f>AND(#REF!,"AAAAAFt/qyA=")</f>
        <v>#REF!</v>
      </c>
      <c r="AH5" t="e">
        <f>IF(#REF!,"AAAAAFt/qyE=",0)</f>
        <v>#REF!</v>
      </c>
      <c r="AI5" t="e">
        <f>AND(#REF!,"AAAAAFt/qyI=")</f>
        <v>#REF!</v>
      </c>
      <c r="AJ5" t="e">
        <f>AND(#REF!,"AAAAAFt/qyM=")</f>
        <v>#REF!</v>
      </c>
      <c r="AK5" t="e">
        <f>AND(#REF!,"AAAAAFt/qyQ=")</f>
        <v>#REF!</v>
      </c>
      <c r="AL5" t="e">
        <f>IF(#REF!,"AAAAAFt/qyU=",0)</f>
        <v>#REF!</v>
      </c>
      <c r="AM5" t="e">
        <f>AND(#REF!,"AAAAAFt/qyY=")</f>
        <v>#REF!</v>
      </c>
      <c r="AN5" t="e">
        <f>AND(#REF!,"AAAAAFt/qyc=")</f>
        <v>#REF!</v>
      </c>
      <c r="AO5" t="e">
        <f>AND(#REF!,"AAAAAFt/qyg=")</f>
        <v>#REF!</v>
      </c>
      <c r="AP5" t="e">
        <f>IF(#REF!,"AAAAAFt/qyk=",0)</f>
        <v>#REF!</v>
      </c>
      <c r="AQ5" t="e">
        <f>AND(#REF!,"AAAAAFt/qyo=")</f>
        <v>#REF!</v>
      </c>
      <c r="AR5" t="e">
        <f>AND(#REF!,"AAAAAFt/qys=")</f>
        <v>#REF!</v>
      </c>
      <c r="AS5" t="e">
        <f>AND(#REF!,"AAAAAFt/qyw=")</f>
        <v>#REF!</v>
      </c>
      <c r="AT5" t="e">
        <f>IF(#REF!,"AAAAAFt/qy0=",0)</f>
        <v>#REF!</v>
      </c>
      <c r="AU5" t="e">
        <f>AND(#REF!,"AAAAAFt/qy4=")</f>
        <v>#REF!</v>
      </c>
      <c r="AV5" t="e">
        <f>AND(#REF!,"AAAAAFt/qy8=")</f>
        <v>#REF!</v>
      </c>
      <c r="AW5" t="e">
        <f>AND(#REF!,"AAAAAFt/qzA=")</f>
        <v>#REF!</v>
      </c>
      <c r="AX5" t="e">
        <f>IF(#REF!,"AAAAAFt/qzE=",0)</f>
        <v>#REF!</v>
      </c>
      <c r="AY5" t="e">
        <f>AND(#REF!,"AAAAAFt/qzI=")</f>
        <v>#REF!</v>
      </c>
      <c r="AZ5" t="e">
        <f>AND(#REF!,"AAAAAFt/qzM=")</f>
        <v>#REF!</v>
      </c>
      <c r="BA5" t="e">
        <f>AND(#REF!,"AAAAAFt/qzQ=")</f>
        <v>#REF!</v>
      </c>
      <c r="BB5" t="e">
        <f>IF(#REF!,"AAAAAFt/qzU=",0)</f>
        <v>#REF!</v>
      </c>
      <c r="BC5" t="e">
        <f>AND(#REF!,"AAAAAFt/qzY=")</f>
        <v>#REF!</v>
      </c>
      <c r="BD5" t="e">
        <f>AND(#REF!,"AAAAAFt/qzc=")</f>
        <v>#REF!</v>
      </c>
      <c r="BE5" t="e">
        <f>AND(#REF!,"AAAAAFt/qzg=")</f>
        <v>#REF!</v>
      </c>
      <c r="BF5" t="e">
        <f>IF(#REF!,"AAAAAFt/qzk=",0)</f>
        <v>#REF!</v>
      </c>
      <c r="BG5" t="e">
        <f>AND(#REF!,"AAAAAFt/qzo=")</f>
        <v>#REF!</v>
      </c>
      <c r="BH5" t="e">
        <f>IF(#REF!,"AAAAAFt/qzs=",0)</f>
        <v>#REF!</v>
      </c>
      <c r="BI5" t="e">
        <f>AND(#REF!,"AAAAAFt/qzw=")</f>
        <v>#REF!</v>
      </c>
      <c r="BJ5" t="e">
        <f>IF(#REF!,"AAAAAFt/qz0=",0)</f>
        <v>#REF!</v>
      </c>
      <c r="BK5" t="e">
        <f>AND(#REF!,"AAAAAFt/qz4=")</f>
        <v>#REF!</v>
      </c>
      <c r="BL5" t="e">
        <f>IF(#REF!,"AAAAAFt/qz8=",0)</f>
        <v>#REF!</v>
      </c>
      <c r="BM5" t="e">
        <f>AND(#REF!,"AAAAAFt/q0A=")</f>
        <v>#REF!</v>
      </c>
      <c r="BN5" t="e">
        <f>IF(#REF!,"AAAAAFt/q0E=",0)</f>
        <v>#REF!</v>
      </c>
      <c r="BO5" t="e">
        <f>AND(#REF!,"AAAAAFt/q0I=")</f>
        <v>#REF!</v>
      </c>
      <c r="BP5" t="e">
        <f>IF(#REF!,"AAAAAFt/q0M=",0)</f>
        <v>#REF!</v>
      </c>
      <c r="BQ5" t="e">
        <f>AND(#REF!,"AAAAAFt/q0Q=")</f>
        <v>#REF!</v>
      </c>
      <c r="BR5" t="e">
        <f>IF(#REF!,"AAAAAFt/q0U=",0)</f>
        <v>#REF!</v>
      </c>
      <c r="BS5" t="e">
        <f>AND(#REF!,"AAAAAFt/q0Y=")</f>
        <v>#REF!</v>
      </c>
      <c r="BT5" t="e">
        <f>IF(#REF!,"AAAAAFt/q0c=",0)</f>
        <v>#REF!</v>
      </c>
      <c r="BU5" t="e">
        <f>AND(#REF!,"AAAAAFt/q0g=")</f>
        <v>#REF!</v>
      </c>
      <c r="BV5" t="e">
        <f>IF(#REF!,"AAAAAFt/q0k=",0)</f>
        <v>#REF!</v>
      </c>
      <c r="BW5" t="e">
        <f>IF(#REF!,"AAAAAFt/q0o=",0)</f>
        <v>#REF!</v>
      </c>
      <c r="BX5" t="e">
        <f>IF(#REF!,"AAAAAFt/q0s=",0)</f>
        <v>#REF!</v>
      </c>
      <c r="BY5" t="e">
        <f>IF(#REF!,"AAAAAFt/q0w=",0)</f>
        <v>#REF!</v>
      </c>
      <c r="BZ5" t="e">
        <f>AND(#REF!,"AAAAAFt/q00=")</f>
        <v>#REF!</v>
      </c>
      <c r="CA5" t="e">
        <f>AND(#REF!,"AAAAAFt/q04=")</f>
        <v>#REF!</v>
      </c>
      <c r="CB5" t="e">
        <f>AND(#REF!,"AAAAAFt/q08=")</f>
        <v>#REF!</v>
      </c>
      <c r="CC5" t="e">
        <f>AND(#REF!,"AAAAAFt/q1A=")</f>
        <v>#REF!</v>
      </c>
      <c r="CD5" t="e">
        <f>AND(#REF!,"AAAAAFt/q1E=")</f>
        <v>#REF!</v>
      </c>
      <c r="CE5" t="e">
        <f>AND(#REF!,"AAAAAFt/q1I=")</f>
        <v>#REF!</v>
      </c>
      <c r="CF5" t="e">
        <f>AND(#REF!,"AAAAAFt/q1M=")</f>
        <v>#REF!</v>
      </c>
      <c r="CG5" t="e">
        <f>AND(#REF!,"AAAAAFt/q1Q=")</f>
        <v>#REF!</v>
      </c>
      <c r="CH5" t="e">
        <f>AND(#REF!,"AAAAAFt/q1U=")</f>
        <v>#REF!</v>
      </c>
      <c r="CI5" t="e">
        <f>IF(#REF!,"AAAAAFt/q1Y=",0)</f>
        <v>#REF!</v>
      </c>
      <c r="CJ5" t="e">
        <f>AND(#REF!,"AAAAAFt/q1c=")</f>
        <v>#REF!</v>
      </c>
      <c r="CK5" t="e">
        <f>AND(#REF!,"AAAAAFt/q1g=")</f>
        <v>#REF!</v>
      </c>
      <c r="CL5" t="e">
        <f>AND(#REF!,"AAAAAFt/q1k=")</f>
        <v>#REF!</v>
      </c>
      <c r="CM5" t="e">
        <f>AND(#REF!,"AAAAAFt/q1o=")</f>
        <v>#REF!</v>
      </c>
      <c r="CN5" t="e">
        <f>AND(#REF!,"AAAAAFt/q1s=")</f>
        <v>#REF!</v>
      </c>
      <c r="CO5" t="e">
        <f>AND(#REF!,"AAAAAFt/q1w=")</f>
        <v>#REF!</v>
      </c>
      <c r="CP5" t="e">
        <f>AND(#REF!,"AAAAAFt/q10=")</f>
        <v>#REF!</v>
      </c>
      <c r="CQ5" t="e">
        <f>AND(#REF!,"AAAAAFt/q14=")</f>
        <v>#REF!</v>
      </c>
      <c r="CR5" t="e">
        <f>AND(#REF!,"AAAAAFt/q18=")</f>
        <v>#REF!</v>
      </c>
      <c r="CS5" t="e">
        <f>IF(#REF!,"AAAAAFt/q2A=",0)</f>
        <v>#REF!</v>
      </c>
      <c r="CT5" t="e">
        <f>AND(#REF!,"AAAAAFt/q2E=")</f>
        <v>#REF!</v>
      </c>
      <c r="CU5" t="e">
        <f>AND(#REF!,"AAAAAFt/q2I=")</f>
        <v>#REF!</v>
      </c>
      <c r="CV5" t="e">
        <f>AND(#REF!,"AAAAAFt/q2M=")</f>
        <v>#REF!</v>
      </c>
      <c r="CW5" t="e">
        <f>AND(#REF!,"AAAAAFt/q2Q=")</f>
        <v>#REF!</v>
      </c>
      <c r="CX5" t="e">
        <f>AND(#REF!,"AAAAAFt/q2U=")</f>
        <v>#REF!</v>
      </c>
      <c r="CY5" t="e">
        <f>AND(#REF!,"AAAAAFt/q2Y=")</f>
        <v>#REF!</v>
      </c>
      <c r="CZ5" t="e">
        <f>AND(#REF!,"AAAAAFt/q2c=")</f>
        <v>#REF!</v>
      </c>
      <c r="DA5" t="e">
        <f>AND(#REF!,"AAAAAFt/q2g=")</f>
        <v>#REF!</v>
      </c>
      <c r="DB5" t="e">
        <f>AND(#REF!,"AAAAAFt/q2k=")</f>
        <v>#REF!</v>
      </c>
      <c r="DC5" t="e">
        <f>IF(#REF!,"AAAAAFt/q2o=",0)</f>
        <v>#REF!</v>
      </c>
      <c r="DD5" t="e">
        <f>AND(#REF!,"AAAAAFt/q2s=")</f>
        <v>#REF!</v>
      </c>
      <c r="DE5" t="e">
        <f>AND(#REF!,"AAAAAFt/q2w=")</f>
        <v>#REF!</v>
      </c>
      <c r="DF5" t="e">
        <f>AND(#REF!,"AAAAAFt/q20=")</f>
        <v>#REF!</v>
      </c>
      <c r="DG5" t="e">
        <f>AND(#REF!,"AAAAAFt/q24=")</f>
        <v>#REF!</v>
      </c>
      <c r="DH5" t="e">
        <f>AND(#REF!,"AAAAAFt/q28=")</f>
        <v>#REF!</v>
      </c>
      <c r="DI5" t="e">
        <f>AND(#REF!,"AAAAAFt/q3A=")</f>
        <v>#REF!</v>
      </c>
      <c r="DJ5" t="e">
        <f>AND(#REF!,"AAAAAFt/q3E=")</f>
        <v>#REF!</v>
      </c>
      <c r="DK5" t="e">
        <f>AND(#REF!,"AAAAAFt/q3I=")</f>
        <v>#REF!</v>
      </c>
      <c r="DL5" t="e">
        <f>AND(#REF!,"AAAAAFt/q3M=")</f>
        <v>#REF!</v>
      </c>
      <c r="DM5" t="e">
        <f>IF(#REF!,"AAAAAFt/q3Q=",0)</f>
        <v>#REF!</v>
      </c>
      <c r="DN5" t="e">
        <f>AND(#REF!,"AAAAAFt/q3U=")</f>
        <v>#REF!</v>
      </c>
      <c r="DO5" t="e">
        <f>AND(#REF!,"AAAAAFt/q3Y=")</f>
        <v>#REF!</v>
      </c>
      <c r="DP5" t="e">
        <f>AND(#REF!,"AAAAAFt/q3c=")</f>
        <v>#REF!</v>
      </c>
      <c r="DQ5" t="e">
        <f>AND(#REF!,"AAAAAFt/q3g=")</f>
        <v>#REF!</v>
      </c>
      <c r="DR5" t="e">
        <f>AND(#REF!,"AAAAAFt/q3k=")</f>
        <v>#REF!</v>
      </c>
      <c r="DS5" t="e">
        <f>AND(#REF!,"AAAAAFt/q3o=")</f>
        <v>#REF!</v>
      </c>
      <c r="DT5" t="e">
        <f>AND(#REF!,"AAAAAFt/q3s=")</f>
        <v>#REF!</v>
      </c>
      <c r="DU5" t="e">
        <f>AND(#REF!,"AAAAAFt/q3w=")</f>
        <v>#REF!</v>
      </c>
      <c r="DV5" t="e">
        <f>AND(#REF!,"AAAAAFt/q30=")</f>
        <v>#REF!</v>
      </c>
      <c r="DW5" t="e">
        <f>IF(#REF!,"AAAAAFt/q34=",0)</f>
        <v>#REF!</v>
      </c>
      <c r="DX5" t="e">
        <f>AND(#REF!,"AAAAAFt/q38=")</f>
        <v>#REF!</v>
      </c>
      <c r="DY5" t="e">
        <f>AND(#REF!,"AAAAAFt/q4A=")</f>
        <v>#REF!</v>
      </c>
      <c r="DZ5" t="e">
        <f>AND(#REF!,"AAAAAFt/q4E=")</f>
        <v>#REF!</v>
      </c>
      <c r="EA5" t="e">
        <f>AND(#REF!,"AAAAAFt/q4I=")</f>
        <v>#REF!</v>
      </c>
      <c r="EB5" t="e">
        <f>AND(#REF!,"AAAAAFt/q4M=")</f>
        <v>#REF!</v>
      </c>
      <c r="EC5" t="e">
        <f>AND(#REF!,"AAAAAFt/q4Q=")</f>
        <v>#REF!</v>
      </c>
      <c r="ED5" t="e">
        <f>AND(#REF!,"AAAAAFt/q4U=")</f>
        <v>#REF!</v>
      </c>
      <c r="EE5" t="e">
        <f>AND(#REF!,"AAAAAFt/q4Y=")</f>
        <v>#REF!</v>
      </c>
      <c r="EF5" t="e">
        <f>AND(#REF!,"AAAAAFt/q4c=")</f>
        <v>#REF!</v>
      </c>
      <c r="EG5" t="e">
        <f>IF(#REF!,"AAAAAFt/q4g=",0)</f>
        <v>#REF!</v>
      </c>
      <c r="EH5" t="e">
        <f>AND(#REF!,"AAAAAFt/q4k=")</f>
        <v>#REF!</v>
      </c>
      <c r="EI5" t="e">
        <f>AND(#REF!,"AAAAAFt/q4o=")</f>
        <v>#REF!</v>
      </c>
      <c r="EJ5" t="e">
        <f>AND(#REF!,"AAAAAFt/q4s=")</f>
        <v>#REF!</v>
      </c>
      <c r="EK5" t="e">
        <f>AND(#REF!,"AAAAAFt/q4w=")</f>
        <v>#REF!</v>
      </c>
      <c r="EL5" t="e">
        <f>AND(#REF!,"AAAAAFt/q40=")</f>
        <v>#REF!</v>
      </c>
      <c r="EM5" t="e">
        <f>AND(#REF!,"AAAAAFt/q44=")</f>
        <v>#REF!</v>
      </c>
      <c r="EN5" t="e">
        <f>AND(#REF!,"AAAAAFt/q48=")</f>
        <v>#REF!</v>
      </c>
      <c r="EO5" t="e">
        <f>AND(#REF!,"AAAAAFt/q5A=")</f>
        <v>#REF!</v>
      </c>
      <c r="EP5" t="e">
        <f>AND(#REF!,"AAAAAFt/q5E=")</f>
        <v>#REF!</v>
      </c>
      <c r="EQ5" t="e">
        <f>IF(#REF!,"AAAAAFt/q5I=",0)</f>
        <v>#REF!</v>
      </c>
      <c r="ER5" t="e">
        <f>AND(#REF!,"AAAAAFt/q5M=")</f>
        <v>#REF!</v>
      </c>
      <c r="ES5" t="e">
        <f>AND(#REF!,"AAAAAFt/q5Q=")</f>
        <v>#REF!</v>
      </c>
      <c r="ET5" t="e">
        <f>AND(#REF!,"AAAAAFt/q5U=")</f>
        <v>#REF!</v>
      </c>
      <c r="EU5" t="e">
        <f>AND(#REF!,"AAAAAFt/q5Y=")</f>
        <v>#REF!</v>
      </c>
      <c r="EV5" t="e">
        <f>AND(#REF!,"AAAAAFt/q5c=")</f>
        <v>#REF!</v>
      </c>
      <c r="EW5" t="e">
        <f>AND(#REF!,"AAAAAFt/q5g=")</f>
        <v>#REF!</v>
      </c>
      <c r="EX5" t="e">
        <f>AND(#REF!,"AAAAAFt/q5k=")</f>
        <v>#REF!</v>
      </c>
      <c r="EY5" t="e">
        <f>AND(#REF!,"AAAAAFt/q5o=")</f>
        <v>#REF!</v>
      </c>
      <c r="EZ5" t="e">
        <f>AND(#REF!,"AAAAAFt/q5s=")</f>
        <v>#REF!</v>
      </c>
      <c r="FA5" t="e">
        <f>IF(#REF!,"AAAAAFt/q5w=",0)</f>
        <v>#REF!</v>
      </c>
      <c r="FB5" t="e">
        <f>AND(#REF!,"AAAAAFt/q50=")</f>
        <v>#REF!</v>
      </c>
      <c r="FC5" t="e">
        <f>AND(#REF!,"AAAAAFt/q54=")</f>
        <v>#REF!</v>
      </c>
      <c r="FD5" t="e">
        <f>AND(#REF!,"AAAAAFt/q58=")</f>
        <v>#REF!</v>
      </c>
      <c r="FE5" t="e">
        <f>AND(#REF!,"AAAAAFt/q6A=")</f>
        <v>#REF!</v>
      </c>
      <c r="FF5" t="e">
        <f>AND(#REF!,"AAAAAFt/q6E=")</f>
        <v>#REF!</v>
      </c>
      <c r="FG5" t="e">
        <f>AND(#REF!,"AAAAAFt/q6I=")</f>
        <v>#REF!</v>
      </c>
      <c r="FH5" t="e">
        <f>AND(#REF!,"AAAAAFt/q6M=")</f>
        <v>#REF!</v>
      </c>
      <c r="FI5" t="e">
        <f>AND(#REF!,"AAAAAFt/q6Q=")</f>
        <v>#REF!</v>
      </c>
      <c r="FJ5" t="e">
        <f>AND(#REF!,"AAAAAFt/q6U=")</f>
        <v>#REF!</v>
      </c>
      <c r="FK5" t="e">
        <f>IF(#REF!,"AAAAAFt/q6Y=",0)</f>
        <v>#REF!</v>
      </c>
      <c r="FL5" t="e">
        <f>AND(#REF!,"AAAAAFt/q6c=")</f>
        <v>#REF!</v>
      </c>
      <c r="FM5" t="e">
        <f>AND(#REF!,"AAAAAFt/q6g=")</f>
        <v>#REF!</v>
      </c>
      <c r="FN5" t="e">
        <f>AND(#REF!,"AAAAAFt/q6k=")</f>
        <v>#REF!</v>
      </c>
      <c r="FO5" t="e">
        <f>AND(#REF!,"AAAAAFt/q6o=")</f>
        <v>#REF!</v>
      </c>
      <c r="FP5" t="e">
        <f>AND(#REF!,"AAAAAFt/q6s=")</f>
        <v>#REF!</v>
      </c>
      <c r="FQ5" t="e">
        <f>AND(#REF!,"AAAAAFt/q6w=")</f>
        <v>#REF!</v>
      </c>
      <c r="FR5" t="e">
        <f>AND(#REF!,"AAAAAFt/q60=")</f>
        <v>#REF!</v>
      </c>
      <c r="FS5" t="e">
        <f>AND(#REF!,"AAAAAFt/q64=")</f>
        <v>#REF!</v>
      </c>
      <c r="FT5" t="e">
        <f>AND(#REF!,"AAAAAFt/q68=")</f>
        <v>#REF!</v>
      </c>
      <c r="FU5" t="e">
        <f>IF(#REF!,"AAAAAFt/q7A=",0)</f>
        <v>#REF!</v>
      </c>
      <c r="FV5" t="e">
        <f>AND(#REF!,"AAAAAFt/q7E=")</f>
        <v>#REF!</v>
      </c>
      <c r="FW5" t="e">
        <f>AND(#REF!,"AAAAAFt/q7I=")</f>
        <v>#REF!</v>
      </c>
      <c r="FX5" t="e">
        <f>AND(#REF!,"AAAAAFt/q7M=")</f>
        <v>#REF!</v>
      </c>
      <c r="FY5" t="e">
        <f>AND(#REF!,"AAAAAFt/q7Q=")</f>
        <v>#REF!</v>
      </c>
      <c r="FZ5" t="e">
        <f>AND(#REF!,"AAAAAFt/q7U=")</f>
        <v>#REF!</v>
      </c>
      <c r="GA5" t="e">
        <f>AND(#REF!,"AAAAAFt/q7Y=")</f>
        <v>#REF!</v>
      </c>
      <c r="GB5" t="e">
        <f>AND(#REF!,"AAAAAFt/q7c=")</f>
        <v>#REF!</v>
      </c>
      <c r="GC5" t="e">
        <f>AND(#REF!,"AAAAAFt/q7g=")</f>
        <v>#REF!</v>
      </c>
      <c r="GD5" t="e">
        <f>AND(#REF!,"AAAAAFt/q7k=")</f>
        <v>#REF!</v>
      </c>
      <c r="GE5" t="e">
        <f>IF(#REF!,"AAAAAFt/q7o=",0)</f>
        <v>#REF!</v>
      </c>
      <c r="GF5" t="e">
        <f>AND(#REF!,"AAAAAFt/q7s=")</f>
        <v>#REF!</v>
      </c>
      <c r="GG5" t="e">
        <f>AND(#REF!,"AAAAAFt/q7w=")</f>
        <v>#REF!</v>
      </c>
      <c r="GH5" t="e">
        <f>AND(#REF!,"AAAAAFt/q70=")</f>
        <v>#REF!</v>
      </c>
      <c r="GI5" t="e">
        <f>AND(#REF!,"AAAAAFt/q74=")</f>
        <v>#REF!</v>
      </c>
      <c r="GJ5" t="e">
        <f>AND(#REF!,"AAAAAFt/q78=")</f>
        <v>#REF!</v>
      </c>
      <c r="GK5" t="e">
        <f>AND(#REF!,"AAAAAFt/q8A=")</f>
        <v>#REF!</v>
      </c>
      <c r="GL5" t="e">
        <f>AND(#REF!,"AAAAAFt/q8E=")</f>
        <v>#REF!</v>
      </c>
      <c r="GM5" t="e">
        <f>AND(#REF!,"AAAAAFt/q8I=")</f>
        <v>#REF!</v>
      </c>
      <c r="GN5" t="e">
        <f>AND(#REF!,"AAAAAFt/q8M=")</f>
        <v>#REF!</v>
      </c>
      <c r="GO5" t="e">
        <f>IF(#REF!,"AAAAAFt/q8Q=",0)</f>
        <v>#REF!</v>
      </c>
      <c r="GP5" t="e">
        <f>AND(#REF!,"AAAAAFt/q8U=")</f>
        <v>#REF!</v>
      </c>
      <c r="GQ5" t="e">
        <f>AND(#REF!,"AAAAAFt/q8Y=")</f>
        <v>#REF!</v>
      </c>
      <c r="GR5" t="e">
        <f>AND(#REF!,"AAAAAFt/q8c=")</f>
        <v>#REF!</v>
      </c>
      <c r="GS5" t="e">
        <f>AND(#REF!,"AAAAAFt/q8g=")</f>
        <v>#REF!</v>
      </c>
      <c r="GT5" t="e">
        <f>AND(#REF!,"AAAAAFt/q8k=")</f>
        <v>#REF!</v>
      </c>
      <c r="GU5" t="e">
        <f>AND(#REF!,"AAAAAFt/q8o=")</f>
        <v>#REF!</v>
      </c>
      <c r="GV5" t="e">
        <f>AND(#REF!,"AAAAAFt/q8s=")</f>
        <v>#REF!</v>
      </c>
      <c r="GW5" t="e">
        <f>AND(#REF!,"AAAAAFt/q8w=")</f>
        <v>#REF!</v>
      </c>
      <c r="GX5" t="e">
        <f>AND(#REF!,"AAAAAFt/q80=")</f>
        <v>#REF!</v>
      </c>
      <c r="GY5" t="e">
        <f>IF(#REF!,"AAAAAFt/q84=",0)</f>
        <v>#REF!</v>
      </c>
      <c r="GZ5" t="e">
        <f>AND(#REF!,"AAAAAFt/q88=")</f>
        <v>#REF!</v>
      </c>
      <c r="HA5" t="e">
        <f>AND(#REF!,"AAAAAFt/q9A=")</f>
        <v>#REF!</v>
      </c>
      <c r="HB5" t="e">
        <f>AND(#REF!,"AAAAAFt/q9E=")</f>
        <v>#REF!</v>
      </c>
      <c r="HC5" t="e">
        <f>AND(#REF!,"AAAAAFt/q9I=")</f>
        <v>#REF!</v>
      </c>
      <c r="HD5" t="e">
        <f>AND(#REF!,"AAAAAFt/q9M=")</f>
        <v>#REF!</v>
      </c>
      <c r="HE5" t="e">
        <f>AND(#REF!,"AAAAAFt/q9Q=")</f>
        <v>#REF!</v>
      </c>
      <c r="HF5" t="e">
        <f>AND(#REF!,"AAAAAFt/q9U=")</f>
        <v>#REF!</v>
      </c>
      <c r="HG5" t="e">
        <f>AND(#REF!,"AAAAAFt/q9Y=")</f>
        <v>#REF!</v>
      </c>
      <c r="HH5" t="e">
        <f>AND(#REF!,"AAAAAFt/q9c=")</f>
        <v>#REF!</v>
      </c>
      <c r="HI5" t="e">
        <f>IF(#REF!,"AAAAAFt/q9g=",0)</f>
        <v>#REF!</v>
      </c>
      <c r="HJ5" t="e">
        <f>AND(#REF!,"AAAAAFt/q9k=")</f>
        <v>#REF!</v>
      </c>
      <c r="HK5" t="e">
        <f>AND(#REF!,"AAAAAFt/q9o=")</f>
        <v>#REF!</v>
      </c>
      <c r="HL5" t="e">
        <f>AND(#REF!,"AAAAAFt/q9s=")</f>
        <v>#REF!</v>
      </c>
      <c r="HM5" t="e">
        <f>AND(#REF!,"AAAAAFt/q9w=")</f>
        <v>#REF!</v>
      </c>
      <c r="HN5" t="e">
        <f>AND(#REF!,"AAAAAFt/q90=")</f>
        <v>#REF!</v>
      </c>
      <c r="HO5" t="e">
        <f>AND(#REF!,"AAAAAFt/q94=")</f>
        <v>#REF!</v>
      </c>
      <c r="HP5" t="e">
        <f>AND(#REF!,"AAAAAFt/q98=")</f>
        <v>#REF!</v>
      </c>
      <c r="HQ5" t="e">
        <f>AND(#REF!,"AAAAAFt/q+A=")</f>
        <v>#REF!</v>
      </c>
      <c r="HR5" t="e">
        <f>AND(#REF!,"AAAAAFt/q+E=")</f>
        <v>#REF!</v>
      </c>
      <c r="HS5" t="e">
        <f>IF(#REF!,"AAAAAFt/q+I=",0)</f>
        <v>#REF!</v>
      </c>
      <c r="HT5" t="e">
        <f>AND(#REF!,"AAAAAFt/q+M=")</f>
        <v>#REF!</v>
      </c>
      <c r="HU5" t="e">
        <f>AND(#REF!,"AAAAAFt/q+Q=")</f>
        <v>#REF!</v>
      </c>
      <c r="HV5" t="e">
        <f>AND(#REF!,"AAAAAFt/q+U=")</f>
        <v>#REF!</v>
      </c>
      <c r="HW5" t="e">
        <f>AND(#REF!,"AAAAAFt/q+Y=")</f>
        <v>#REF!</v>
      </c>
      <c r="HX5" t="e">
        <f>AND(#REF!,"AAAAAFt/q+c=")</f>
        <v>#REF!</v>
      </c>
      <c r="HY5" t="e">
        <f>AND(#REF!,"AAAAAFt/q+g=")</f>
        <v>#REF!</v>
      </c>
      <c r="HZ5" t="e">
        <f>AND(#REF!,"AAAAAFt/q+k=")</f>
        <v>#REF!</v>
      </c>
      <c r="IA5" t="e">
        <f>AND(#REF!,"AAAAAFt/q+o=")</f>
        <v>#REF!</v>
      </c>
      <c r="IB5" t="e">
        <f>AND(#REF!,"AAAAAFt/q+s=")</f>
        <v>#REF!</v>
      </c>
      <c r="IC5" t="e">
        <f>IF(#REF!,"AAAAAFt/q+w=",0)</f>
        <v>#REF!</v>
      </c>
      <c r="ID5" t="e">
        <f>AND(#REF!,"AAAAAFt/q+0=")</f>
        <v>#REF!</v>
      </c>
      <c r="IE5" t="e">
        <f>AND(#REF!,"AAAAAFt/q+4=")</f>
        <v>#REF!</v>
      </c>
      <c r="IF5" t="e">
        <f>AND(#REF!,"AAAAAFt/q+8=")</f>
        <v>#REF!</v>
      </c>
      <c r="IG5" t="e">
        <f>AND(#REF!,"AAAAAFt/q/A=")</f>
        <v>#REF!</v>
      </c>
      <c r="IH5" t="e">
        <f>AND(#REF!,"AAAAAFt/q/E=")</f>
        <v>#REF!</v>
      </c>
      <c r="II5" t="e">
        <f>AND(#REF!,"AAAAAFt/q/I=")</f>
        <v>#REF!</v>
      </c>
      <c r="IJ5" t="e">
        <f>AND(#REF!,"AAAAAFt/q/M=")</f>
        <v>#REF!</v>
      </c>
      <c r="IK5" t="e">
        <f>AND(#REF!,"AAAAAFt/q/Q=")</f>
        <v>#REF!</v>
      </c>
      <c r="IL5" t="e">
        <f>AND(#REF!,"AAAAAFt/q/U=")</f>
        <v>#REF!</v>
      </c>
      <c r="IM5" t="e">
        <f>IF(#REF!,"AAAAAFt/q/Y=",0)</f>
        <v>#REF!</v>
      </c>
      <c r="IN5" t="e">
        <f>AND(#REF!,"AAAAAFt/q/c=")</f>
        <v>#REF!</v>
      </c>
      <c r="IO5" t="e">
        <f>AND(#REF!,"AAAAAFt/q/g=")</f>
        <v>#REF!</v>
      </c>
      <c r="IP5" t="e">
        <f>AND(#REF!,"AAAAAFt/q/k=")</f>
        <v>#REF!</v>
      </c>
      <c r="IQ5" t="e">
        <f>AND(#REF!,"AAAAAFt/q/o=")</f>
        <v>#REF!</v>
      </c>
      <c r="IR5" t="e">
        <f>AND(#REF!,"AAAAAFt/q/s=")</f>
        <v>#REF!</v>
      </c>
      <c r="IS5" t="e">
        <f>AND(#REF!,"AAAAAFt/q/w=")</f>
        <v>#REF!</v>
      </c>
      <c r="IT5" t="e">
        <f>AND(#REF!,"AAAAAFt/q/0=")</f>
        <v>#REF!</v>
      </c>
      <c r="IU5" t="e">
        <f>AND(#REF!,"AAAAAFt/q/4=")</f>
        <v>#REF!</v>
      </c>
      <c r="IV5" t="e">
        <f>AND(#REF!,"AAAAAFt/q/8=")</f>
        <v>#REF!</v>
      </c>
    </row>
    <row r="6" spans="1:256">
      <c r="A6" t="e">
        <f>IF(#REF!,"AAAAAHv/+gA=",0)</f>
        <v>#REF!</v>
      </c>
      <c r="B6" t="e">
        <f>AND(#REF!,"AAAAAHv/+gE=")</f>
        <v>#REF!</v>
      </c>
      <c r="C6" t="e">
        <f>AND(#REF!,"AAAAAHv/+gI=")</f>
        <v>#REF!</v>
      </c>
      <c r="D6" t="e">
        <f>AND(#REF!,"AAAAAHv/+gM=")</f>
        <v>#REF!</v>
      </c>
      <c r="E6" t="e">
        <f>AND(#REF!,"AAAAAHv/+gQ=")</f>
        <v>#REF!</v>
      </c>
      <c r="F6" t="e">
        <f>AND(#REF!,"AAAAAHv/+gU=")</f>
        <v>#REF!</v>
      </c>
      <c r="G6" t="e">
        <f>AND(#REF!,"AAAAAHv/+gY=")</f>
        <v>#REF!</v>
      </c>
      <c r="H6" t="e">
        <f>AND(#REF!,"AAAAAHv/+gc=")</f>
        <v>#REF!</v>
      </c>
      <c r="I6" t="e">
        <f>AND(#REF!,"AAAAAHv/+gg=")</f>
        <v>#REF!</v>
      </c>
      <c r="J6" t="e">
        <f>AND(#REF!,"AAAAAHv/+gk=")</f>
        <v>#REF!</v>
      </c>
      <c r="K6" t="e">
        <f>IF(#REF!,"AAAAAHv/+go=",0)</f>
        <v>#REF!</v>
      </c>
      <c r="L6" t="e">
        <f>AND(#REF!,"AAAAAHv/+gs=")</f>
        <v>#REF!</v>
      </c>
      <c r="M6" t="e">
        <f>AND(#REF!,"AAAAAHv/+gw=")</f>
        <v>#REF!</v>
      </c>
      <c r="N6" t="e">
        <f>AND(#REF!,"AAAAAHv/+g0=")</f>
        <v>#REF!</v>
      </c>
      <c r="O6" t="e">
        <f>AND(#REF!,"AAAAAHv/+g4=")</f>
        <v>#REF!</v>
      </c>
      <c r="P6" t="e">
        <f>AND(#REF!,"AAAAAHv/+g8=")</f>
        <v>#REF!</v>
      </c>
      <c r="Q6" t="e">
        <f>AND(#REF!,"AAAAAHv/+hA=")</f>
        <v>#REF!</v>
      </c>
      <c r="R6" t="e">
        <f>AND(#REF!,"AAAAAHv/+hE=")</f>
        <v>#REF!</v>
      </c>
      <c r="S6" t="e">
        <f>AND(#REF!,"AAAAAHv/+hI=")</f>
        <v>#REF!</v>
      </c>
      <c r="T6" t="e">
        <f>AND(#REF!,"AAAAAHv/+hM=")</f>
        <v>#REF!</v>
      </c>
      <c r="U6" t="e">
        <f>IF(#REF!,"AAAAAHv/+hQ=",0)</f>
        <v>#REF!</v>
      </c>
      <c r="V6" t="e">
        <f>AND(#REF!,"AAAAAHv/+hU=")</f>
        <v>#REF!</v>
      </c>
      <c r="W6" t="e">
        <f>AND(#REF!,"AAAAAHv/+hY=")</f>
        <v>#REF!</v>
      </c>
      <c r="X6" t="e">
        <f>AND(#REF!,"AAAAAHv/+hc=")</f>
        <v>#REF!</v>
      </c>
      <c r="Y6" t="e">
        <f>AND(#REF!,"AAAAAHv/+hg=")</f>
        <v>#REF!</v>
      </c>
      <c r="Z6" t="e">
        <f>AND(#REF!,"AAAAAHv/+hk=")</f>
        <v>#REF!</v>
      </c>
      <c r="AA6" t="e">
        <f>AND(#REF!,"AAAAAHv/+ho=")</f>
        <v>#REF!</v>
      </c>
      <c r="AB6" t="e">
        <f>AND(#REF!,"AAAAAHv/+hs=")</f>
        <v>#REF!</v>
      </c>
      <c r="AC6" t="e">
        <f>AND(#REF!,"AAAAAHv/+hw=")</f>
        <v>#REF!</v>
      </c>
      <c r="AD6" t="e">
        <f>AND(#REF!,"AAAAAHv/+h0=")</f>
        <v>#REF!</v>
      </c>
      <c r="AE6" t="e">
        <f>IF(#REF!,"AAAAAHv/+h4=",0)</f>
        <v>#REF!</v>
      </c>
      <c r="AF6" t="e">
        <f>AND(#REF!,"AAAAAHv/+h8=")</f>
        <v>#REF!</v>
      </c>
      <c r="AG6" t="e">
        <f>AND(#REF!,"AAAAAHv/+iA=")</f>
        <v>#REF!</v>
      </c>
      <c r="AH6" t="e">
        <f>AND(#REF!,"AAAAAHv/+iE=")</f>
        <v>#REF!</v>
      </c>
      <c r="AI6" t="e">
        <f>AND(#REF!,"AAAAAHv/+iI=")</f>
        <v>#REF!</v>
      </c>
      <c r="AJ6" t="e">
        <f>AND(#REF!,"AAAAAHv/+iM=")</f>
        <v>#REF!</v>
      </c>
      <c r="AK6" t="e">
        <f>AND(#REF!,"AAAAAHv/+iQ=")</f>
        <v>#REF!</v>
      </c>
      <c r="AL6" t="e">
        <f>AND(#REF!,"AAAAAHv/+iU=")</f>
        <v>#REF!</v>
      </c>
      <c r="AM6" t="e">
        <f>AND(#REF!,"AAAAAHv/+iY=")</f>
        <v>#REF!</v>
      </c>
      <c r="AN6" t="e">
        <f>AND(#REF!,"AAAAAHv/+ic=")</f>
        <v>#REF!</v>
      </c>
      <c r="AO6" t="e">
        <f>IF(#REF!,"AAAAAHv/+ig=",0)</f>
        <v>#REF!</v>
      </c>
      <c r="AP6" t="e">
        <f>AND(#REF!,"AAAAAHv/+ik=")</f>
        <v>#REF!</v>
      </c>
      <c r="AQ6" t="e">
        <f>AND(#REF!,"AAAAAHv/+io=")</f>
        <v>#REF!</v>
      </c>
      <c r="AR6" t="e">
        <f>AND(#REF!,"AAAAAHv/+is=")</f>
        <v>#REF!</v>
      </c>
      <c r="AS6" t="e">
        <f>AND(#REF!,"AAAAAHv/+iw=")</f>
        <v>#REF!</v>
      </c>
      <c r="AT6" t="e">
        <f>AND(#REF!,"AAAAAHv/+i0=")</f>
        <v>#REF!</v>
      </c>
      <c r="AU6" t="e">
        <f>AND(#REF!,"AAAAAHv/+i4=")</f>
        <v>#REF!</v>
      </c>
      <c r="AV6" t="e">
        <f>AND(#REF!,"AAAAAHv/+i8=")</f>
        <v>#REF!</v>
      </c>
      <c r="AW6" t="e">
        <f>AND(#REF!,"AAAAAHv/+jA=")</f>
        <v>#REF!</v>
      </c>
      <c r="AX6" t="e">
        <f>AND(#REF!,"AAAAAHv/+jE=")</f>
        <v>#REF!</v>
      </c>
      <c r="AY6" t="e">
        <f>IF(#REF!,"AAAAAHv/+jI=",0)</f>
        <v>#REF!</v>
      </c>
      <c r="AZ6" t="e">
        <f>AND(#REF!,"AAAAAHv/+jM=")</f>
        <v>#REF!</v>
      </c>
      <c r="BA6" t="e">
        <f>AND(#REF!,"AAAAAHv/+jQ=")</f>
        <v>#REF!</v>
      </c>
      <c r="BB6" t="e">
        <f>AND(#REF!,"AAAAAHv/+jU=")</f>
        <v>#REF!</v>
      </c>
      <c r="BC6" t="e">
        <f>AND(#REF!,"AAAAAHv/+jY=")</f>
        <v>#REF!</v>
      </c>
      <c r="BD6" t="e">
        <f>AND(#REF!,"AAAAAHv/+jc=")</f>
        <v>#REF!</v>
      </c>
      <c r="BE6" t="e">
        <f>AND(#REF!,"AAAAAHv/+jg=")</f>
        <v>#REF!</v>
      </c>
      <c r="BF6" t="e">
        <f>AND(#REF!,"AAAAAHv/+jk=")</f>
        <v>#REF!</v>
      </c>
      <c r="BG6" t="e">
        <f>AND(#REF!,"AAAAAHv/+jo=")</f>
        <v>#REF!</v>
      </c>
      <c r="BH6" t="e">
        <f>AND(#REF!,"AAAAAHv/+js=")</f>
        <v>#REF!</v>
      </c>
      <c r="BI6" t="e">
        <f>IF(#REF!,"AAAAAHv/+jw=",0)</f>
        <v>#REF!</v>
      </c>
      <c r="BJ6" t="e">
        <f>AND(#REF!,"AAAAAHv/+j0=")</f>
        <v>#REF!</v>
      </c>
      <c r="BK6" t="e">
        <f>AND(#REF!,"AAAAAHv/+j4=")</f>
        <v>#REF!</v>
      </c>
      <c r="BL6" t="e">
        <f>AND(#REF!,"AAAAAHv/+j8=")</f>
        <v>#REF!</v>
      </c>
      <c r="BM6" t="e">
        <f>AND(#REF!,"AAAAAHv/+kA=")</f>
        <v>#REF!</v>
      </c>
      <c r="BN6" t="e">
        <f>AND(#REF!,"AAAAAHv/+kE=")</f>
        <v>#REF!</v>
      </c>
      <c r="BO6" t="e">
        <f>AND(#REF!,"AAAAAHv/+kI=")</f>
        <v>#REF!</v>
      </c>
      <c r="BP6" t="e">
        <f>AND(#REF!,"AAAAAHv/+kM=")</f>
        <v>#REF!</v>
      </c>
      <c r="BQ6" t="e">
        <f>AND(#REF!,"AAAAAHv/+kQ=")</f>
        <v>#REF!</v>
      </c>
      <c r="BR6" t="e">
        <f>AND(#REF!,"AAAAAHv/+kU=")</f>
        <v>#REF!</v>
      </c>
      <c r="BS6" t="e">
        <f>IF(#REF!,"AAAAAHv/+kY=",0)</f>
        <v>#REF!</v>
      </c>
      <c r="BT6" t="e">
        <f>AND(#REF!,"AAAAAHv/+kc=")</f>
        <v>#REF!</v>
      </c>
      <c r="BU6" t="e">
        <f>AND(#REF!,"AAAAAHv/+kg=")</f>
        <v>#REF!</v>
      </c>
      <c r="BV6" t="e">
        <f>AND(#REF!,"AAAAAHv/+kk=")</f>
        <v>#REF!</v>
      </c>
      <c r="BW6" t="e">
        <f>AND(#REF!,"AAAAAHv/+ko=")</f>
        <v>#REF!</v>
      </c>
      <c r="BX6" t="e">
        <f>AND(#REF!,"AAAAAHv/+ks=")</f>
        <v>#REF!</v>
      </c>
      <c r="BY6" t="e">
        <f>AND(#REF!,"AAAAAHv/+kw=")</f>
        <v>#REF!</v>
      </c>
      <c r="BZ6" t="e">
        <f>AND(#REF!,"AAAAAHv/+k0=")</f>
        <v>#REF!</v>
      </c>
      <c r="CA6" t="e">
        <f>AND(#REF!,"AAAAAHv/+k4=")</f>
        <v>#REF!</v>
      </c>
      <c r="CB6" t="e">
        <f>AND(#REF!,"AAAAAHv/+k8=")</f>
        <v>#REF!</v>
      </c>
      <c r="CC6" t="e">
        <f>IF(#REF!,"AAAAAHv/+lA=",0)</f>
        <v>#REF!</v>
      </c>
      <c r="CD6" t="e">
        <f>AND(#REF!,"AAAAAHv/+lE=")</f>
        <v>#REF!</v>
      </c>
      <c r="CE6" t="e">
        <f>AND(#REF!,"AAAAAHv/+lI=")</f>
        <v>#REF!</v>
      </c>
      <c r="CF6" t="e">
        <f>AND(#REF!,"AAAAAHv/+lM=")</f>
        <v>#REF!</v>
      </c>
      <c r="CG6" t="e">
        <f>AND(#REF!,"AAAAAHv/+lQ=")</f>
        <v>#REF!</v>
      </c>
      <c r="CH6" t="e">
        <f>AND(#REF!,"AAAAAHv/+lU=")</f>
        <v>#REF!</v>
      </c>
      <c r="CI6" t="e">
        <f>AND(#REF!,"AAAAAHv/+lY=")</f>
        <v>#REF!</v>
      </c>
      <c r="CJ6" t="e">
        <f>AND(#REF!,"AAAAAHv/+lc=")</f>
        <v>#REF!</v>
      </c>
      <c r="CK6" t="e">
        <f>AND(#REF!,"AAAAAHv/+lg=")</f>
        <v>#REF!</v>
      </c>
      <c r="CL6" t="e">
        <f>AND(#REF!,"AAAAAHv/+lk=")</f>
        <v>#REF!</v>
      </c>
      <c r="CM6" t="e">
        <f>IF(#REF!,"AAAAAHv/+lo=",0)</f>
        <v>#REF!</v>
      </c>
      <c r="CN6" t="e">
        <f>AND(#REF!,"AAAAAHv/+ls=")</f>
        <v>#REF!</v>
      </c>
      <c r="CO6" t="e">
        <f>AND(#REF!,"AAAAAHv/+lw=")</f>
        <v>#REF!</v>
      </c>
      <c r="CP6" t="e">
        <f>AND(#REF!,"AAAAAHv/+l0=")</f>
        <v>#REF!</v>
      </c>
      <c r="CQ6" t="e">
        <f>AND(#REF!,"AAAAAHv/+l4=")</f>
        <v>#REF!</v>
      </c>
      <c r="CR6" t="e">
        <f>AND(#REF!,"AAAAAHv/+l8=")</f>
        <v>#REF!</v>
      </c>
      <c r="CS6" t="e">
        <f>AND(#REF!,"AAAAAHv/+mA=")</f>
        <v>#REF!</v>
      </c>
      <c r="CT6" t="e">
        <f>AND(#REF!,"AAAAAHv/+mE=")</f>
        <v>#REF!</v>
      </c>
      <c r="CU6" t="e">
        <f>AND(#REF!,"AAAAAHv/+mI=")</f>
        <v>#REF!</v>
      </c>
      <c r="CV6" t="e">
        <f>AND(#REF!,"AAAAAHv/+mM=")</f>
        <v>#REF!</v>
      </c>
      <c r="CW6" t="e">
        <f>IF(#REF!,"AAAAAHv/+mQ=",0)</f>
        <v>#REF!</v>
      </c>
      <c r="CX6" t="e">
        <f>AND(#REF!,"AAAAAHv/+mU=")</f>
        <v>#REF!</v>
      </c>
      <c r="CY6" t="e">
        <f>AND(#REF!,"AAAAAHv/+mY=")</f>
        <v>#REF!</v>
      </c>
      <c r="CZ6" t="e">
        <f>AND(#REF!,"AAAAAHv/+mc=")</f>
        <v>#REF!</v>
      </c>
      <c r="DA6" t="e">
        <f>AND(#REF!,"AAAAAHv/+mg=")</f>
        <v>#REF!</v>
      </c>
      <c r="DB6" t="e">
        <f>AND(#REF!,"AAAAAHv/+mk=")</f>
        <v>#REF!</v>
      </c>
      <c r="DC6" t="e">
        <f>AND(#REF!,"AAAAAHv/+mo=")</f>
        <v>#REF!</v>
      </c>
      <c r="DD6" t="e">
        <f>AND(#REF!,"AAAAAHv/+ms=")</f>
        <v>#REF!</v>
      </c>
      <c r="DE6" t="e">
        <f>AND(#REF!,"AAAAAHv/+mw=")</f>
        <v>#REF!</v>
      </c>
      <c r="DF6" t="e">
        <f>AND(#REF!,"AAAAAHv/+m0=")</f>
        <v>#REF!</v>
      </c>
      <c r="DG6" t="e">
        <f>IF(#REF!,"AAAAAHv/+m4=",0)</f>
        <v>#REF!</v>
      </c>
      <c r="DH6" t="e">
        <f>AND(#REF!,"AAAAAHv/+m8=")</f>
        <v>#REF!</v>
      </c>
      <c r="DI6" t="e">
        <f>AND(#REF!,"AAAAAHv/+nA=")</f>
        <v>#REF!</v>
      </c>
      <c r="DJ6" t="e">
        <f>AND(#REF!,"AAAAAHv/+nE=")</f>
        <v>#REF!</v>
      </c>
      <c r="DK6" t="e">
        <f>AND(#REF!,"AAAAAHv/+nI=")</f>
        <v>#REF!</v>
      </c>
      <c r="DL6" t="e">
        <f>AND(#REF!,"AAAAAHv/+nM=")</f>
        <v>#REF!</v>
      </c>
      <c r="DM6" t="e">
        <f>AND(#REF!,"AAAAAHv/+nQ=")</f>
        <v>#REF!</v>
      </c>
      <c r="DN6" t="e">
        <f>AND(#REF!,"AAAAAHv/+nU=")</f>
        <v>#REF!</v>
      </c>
      <c r="DO6" t="e">
        <f>AND(#REF!,"AAAAAHv/+nY=")</f>
        <v>#REF!</v>
      </c>
      <c r="DP6" t="e">
        <f>AND(#REF!,"AAAAAHv/+nc=")</f>
        <v>#REF!</v>
      </c>
      <c r="DQ6" t="e">
        <f>IF(#REF!,"AAAAAHv/+ng=",0)</f>
        <v>#REF!</v>
      </c>
      <c r="DR6" t="e">
        <f>AND(#REF!,"AAAAAHv/+nk=")</f>
        <v>#REF!</v>
      </c>
      <c r="DS6" t="e">
        <f>AND(#REF!,"AAAAAHv/+no=")</f>
        <v>#REF!</v>
      </c>
      <c r="DT6" t="e">
        <f>AND(#REF!,"AAAAAHv/+ns=")</f>
        <v>#REF!</v>
      </c>
      <c r="DU6" t="e">
        <f>AND(#REF!,"AAAAAHv/+nw=")</f>
        <v>#REF!</v>
      </c>
      <c r="DV6" t="e">
        <f>AND(#REF!,"AAAAAHv/+n0=")</f>
        <v>#REF!</v>
      </c>
      <c r="DW6" t="e">
        <f>AND(#REF!,"AAAAAHv/+n4=")</f>
        <v>#REF!</v>
      </c>
      <c r="DX6" t="e">
        <f>AND(#REF!,"AAAAAHv/+n8=")</f>
        <v>#REF!</v>
      </c>
      <c r="DY6" t="e">
        <f>AND(#REF!,"AAAAAHv/+oA=")</f>
        <v>#REF!</v>
      </c>
      <c r="DZ6" t="e">
        <f>AND(#REF!,"AAAAAHv/+oE=")</f>
        <v>#REF!</v>
      </c>
      <c r="EA6" t="e">
        <f>IF(#REF!,"AAAAAHv/+oI=",0)</f>
        <v>#REF!</v>
      </c>
      <c r="EB6" t="e">
        <f>AND(#REF!,"AAAAAHv/+oM=")</f>
        <v>#REF!</v>
      </c>
      <c r="EC6" t="e">
        <f>AND(#REF!,"AAAAAHv/+oQ=")</f>
        <v>#REF!</v>
      </c>
      <c r="ED6" t="e">
        <f>AND(#REF!,"AAAAAHv/+oU=")</f>
        <v>#REF!</v>
      </c>
      <c r="EE6" t="e">
        <f>AND(#REF!,"AAAAAHv/+oY=")</f>
        <v>#REF!</v>
      </c>
      <c r="EF6" t="e">
        <f>AND(#REF!,"AAAAAHv/+oc=")</f>
        <v>#REF!</v>
      </c>
      <c r="EG6" t="e">
        <f>AND(#REF!,"AAAAAHv/+og=")</f>
        <v>#REF!</v>
      </c>
      <c r="EH6" t="e">
        <f>AND(#REF!,"AAAAAHv/+ok=")</f>
        <v>#REF!</v>
      </c>
      <c r="EI6" t="e">
        <f>AND(#REF!,"AAAAAHv/+oo=")</f>
        <v>#REF!</v>
      </c>
      <c r="EJ6" t="e">
        <f>AND(#REF!,"AAAAAHv/+os=")</f>
        <v>#REF!</v>
      </c>
      <c r="EK6" t="e">
        <f>IF(#REF!,"AAAAAHv/+ow=",0)</f>
        <v>#REF!</v>
      </c>
      <c r="EL6" t="e">
        <f>AND(#REF!,"AAAAAHv/+o0=")</f>
        <v>#REF!</v>
      </c>
      <c r="EM6" t="e">
        <f>AND(#REF!,"AAAAAHv/+o4=")</f>
        <v>#REF!</v>
      </c>
      <c r="EN6" t="e">
        <f>AND(#REF!,"AAAAAHv/+o8=")</f>
        <v>#REF!</v>
      </c>
      <c r="EO6" t="e">
        <f>AND(#REF!,"AAAAAHv/+pA=")</f>
        <v>#REF!</v>
      </c>
      <c r="EP6" t="e">
        <f>AND(#REF!,"AAAAAHv/+pE=")</f>
        <v>#REF!</v>
      </c>
      <c r="EQ6" t="e">
        <f>AND(#REF!,"AAAAAHv/+pI=")</f>
        <v>#REF!</v>
      </c>
      <c r="ER6" t="e">
        <f>AND(#REF!,"AAAAAHv/+pM=")</f>
        <v>#REF!</v>
      </c>
      <c r="ES6" t="e">
        <f>AND(#REF!,"AAAAAHv/+pQ=")</f>
        <v>#REF!</v>
      </c>
      <c r="ET6" t="e">
        <f>AND(#REF!,"AAAAAHv/+pU=")</f>
        <v>#REF!</v>
      </c>
      <c r="EU6" t="e">
        <f>IF(#REF!,"AAAAAHv/+pY=",0)</f>
        <v>#REF!</v>
      </c>
      <c r="EV6" t="e">
        <f>AND(#REF!,"AAAAAHv/+pc=")</f>
        <v>#REF!</v>
      </c>
      <c r="EW6" t="e">
        <f>AND(#REF!,"AAAAAHv/+pg=")</f>
        <v>#REF!</v>
      </c>
      <c r="EX6" t="e">
        <f>AND(#REF!,"AAAAAHv/+pk=")</f>
        <v>#REF!</v>
      </c>
      <c r="EY6" t="e">
        <f>AND(#REF!,"AAAAAHv/+po=")</f>
        <v>#REF!</v>
      </c>
      <c r="EZ6" t="e">
        <f>AND(#REF!,"AAAAAHv/+ps=")</f>
        <v>#REF!</v>
      </c>
      <c r="FA6" t="e">
        <f>AND(#REF!,"AAAAAHv/+pw=")</f>
        <v>#REF!</v>
      </c>
      <c r="FB6" t="e">
        <f>AND(#REF!,"AAAAAHv/+p0=")</f>
        <v>#REF!</v>
      </c>
      <c r="FC6" t="e">
        <f>AND(#REF!,"AAAAAHv/+p4=")</f>
        <v>#REF!</v>
      </c>
      <c r="FD6" t="e">
        <f>AND(#REF!,"AAAAAHv/+p8=")</f>
        <v>#REF!</v>
      </c>
      <c r="FE6" t="e">
        <f>IF(#REF!,"AAAAAHv/+qA=",0)</f>
        <v>#REF!</v>
      </c>
      <c r="FF6" t="e">
        <f>AND(#REF!,"AAAAAHv/+qE=")</f>
        <v>#REF!</v>
      </c>
      <c r="FG6" t="e">
        <f>AND(#REF!,"AAAAAHv/+qI=")</f>
        <v>#REF!</v>
      </c>
      <c r="FH6" t="e">
        <f>AND(#REF!,"AAAAAHv/+qM=")</f>
        <v>#REF!</v>
      </c>
      <c r="FI6" t="e">
        <f>AND(#REF!,"AAAAAHv/+qQ=")</f>
        <v>#REF!</v>
      </c>
      <c r="FJ6" t="e">
        <f>AND(#REF!,"AAAAAHv/+qU=")</f>
        <v>#REF!</v>
      </c>
      <c r="FK6" t="e">
        <f>AND(#REF!,"AAAAAHv/+qY=")</f>
        <v>#REF!</v>
      </c>
      <c r="FL6" t="e">
        <f>AND(#REF!,"AAAAAHv/+qc=")</f>
        <v>#REF!</v>
      </c>
      <c r="FM6" t="e">
        <f>AND(#REF!,"AAAAAHv/+qg=")</f>
        <v>#REF!</v>
      </c>
      <c r="FN6" t="e">
        <f>AND(#REF!,"AAAAAHv/+qk=")</f>
        <v>#REF!</v>
      </c>
      <c r="FO6" t="e">
        <f>IF(#REF!,"AAAAAHv/+qo=",0)</f>
        <v>#REF!</v>
      </c>
      <c r="FP6" t="e">
        <f>AND(#REF!,"AAAAAHv/+qs=")</f>
        <v>#REF!</v>
      </c>
      <c r="FQ6" t="e">
        <f>AND(#REF!,"AAAAAHv/+qw=")</f>
        <v>#REF!</v>
      </c>
      <c r="FR6" t="e">
        <f>AND(#REF!,"AAAAAHv/+q0=")</f>
        <v>#REF!</v>
      </c>
      <c r="FS6" t="e">
        <f>AND(#REF!,"AAAAAHv/+q4=")</f>
        <v>#REF!</v>
      </c>
      <c r="FT6" t="e">
        <f>AND(#REF!,"AAAAAHv/+q8=")</f>
        <v>#REF!</v>
      </c>
      <c r="FU6" t="e">
        <f>AND(#REF!,"AAAAAHv/+rA=")</f>
        <v>#REF!</v>
      </c>
      <c r="FV6" t="e">
        <f>AND(#REF!,"AAAAAHv/+rE=")</f>
        <v>#REF!</v>
      </c>
      <c r="FW6" t="e">
        <f>AND(#REF!,"AAAAAHv/+rI=")</f>
        <v>#REF!</v>
      </c>
      <c r="FX6" t="e">
        <f>AND(#REF!,"AAAAAHv/+rM=")</f>
        <v>#REF!</v>
      </c>
      <c r="FY6" t="e">
        <f>IF(#REF!,"AAAAAHv/+rQ=",0)</f>
        <v>#REF!</v>
      </c>
      <c r="FZ6" t="e">
        <f>AND(#REF!,"AAAAAHv/+rU=")</f>
        <v>#REF!</v>
      </c>
      <c r="GA6" t="e">
        <f>AND(#REF!,"AAAAAHv/+rY=")</f>
        <v>#REF!</v>
      </c>
      <c r="GB6" t="e">
        <f>AND(#REF!,"AAAAAHv/+rc=")</f>
        <v>#REF!</v>
      </c>
      <c r="GC6" t="e">
        <f>AND(#REF!,"AAAAAHv/+rg=")</f>
        <v>#REF!</v>
      </c>
      <c r="GD6" t="e">
        <f>AND(#REF!,"AAAAAHv/+rk=")</f>
        <v>#REF!</v>
      </c>
      <c r="GE6" t="e">
        <f>AND(#REF!,"AAAAAHv/+ro=")</f>
        <v>#REF!</v>
      </c>
      <c r="GF6" t="e">
        <f>AND(#REF!,"AAAAAHv/+rs=")</f>
        <v>#REF!</v>
      </c>
      <c r="GG6" t="e">
        <f>AND(#REF!,"AAAAAHv/+rw=")</f>
        <v>#REF!</v>
      </c>
      <c r="GH6" t="e">
        <f>AND(#REF!,"AAAAAHv/+r0=")</f>
        <v>#REF!</v>
      </c>
      <c r="GI6" t="e">
        <f>IF(#REF!,"AAAAAHv/+r4=",0)</f>
        <v>#REF!</v>
      </c>
      <c r="GJ6" t="e">
        <f>AND(#REF!,"AAAAAHv/+r8=")</f>
        <v>#REF!</v>
      </c>
      <c r="GK6" t="e">
        <f>AND(#REF!,"AAAAAHv/+sA=")</f>
        <v>#REF!</v>
      </c>
      <c r="GL6" t="e">
        <f>AND(#REF!,"AAAAAHv/+sE=")</f>
        <v>#REF!</v>
      </c>
      <c r="GM6" t="e">
        <f>AND(#REF!,"AAAAAHv/+sI=")</f>
        <v>#REF!</v>
      </c>
      <c r="GN6" t="e">
        <f>AND(#REF!,"AAAAAHv/+sM=")</f>
        <v>#REF!</v>
      </c>
      <c r="GO6" t="e">
        <f>AND(#REF!,"AAAAAHv/+sQ=")</f>
        <v>#REF!</v>
      </c>
      <c r="GP6" t="e">
        <f>AND(#REF!,"AAAAAHv/+sU=")</f>
        <v>#REF!</v>
      </c>
      <c r="GQ6" t="e">
        <f>AND(#REF!,"AAAAAHv/+sY=")</f>
        <v>#REF!</v>
      </c>
      <c r="GR6" t="e">
        <f>AND(#REF!,"AAAAAHv/+sc=")</f>
        <v>#REF!</v>
      </c>
      <c r="GS6" t="e">
        <f>IF(#REF!,"AAAAAHv/+sg=",0)</f>
        <v>#REF!</v>
      </c>
      <c r="GT6" t="e">
        <f>AND(#REF!,"AAAAAHv/+sk=")</f>
        <v>#REF!</v>
      </c>
      <c r="GU6" t="e">
        <f>AND(#REF!,"AAAAAHv/+so=")</f>
        <v>#REF!</v>
      </c>
      <c r="GV6" t="e">
        <f>AND(#REF!,"AAAAAHv/+ss=")</f>
        <v>#REF!</v>
      </c>
      <c r="GW6" t="e">
        <f>AND(#REF!,"AAAAAHv/+sw=")</f>
        <v>#REF!</v>
      </c>
      <c r="GX6" t="e">
        <f>AND(#REF!,"AAAAAHv/+s0=")</f>
        <v>#REF!</v>
      </c>
      <c r="GY6" t="e">
        <f>AND(#REF!,"AAAAAHv/+s4=")</f>
        <v>#REF!</v>
      </c>
      <c r="GZ6" t="e">
        <f>AND(#REF!,"AAAAAHv/+s8=")</f>
        <v>#REF!</v>
      </c>
      <c r="HA6" t="e">
        <f>AND(#REF!,"AAAAAHv/+tA=")</f>
        <v>#REF!</v>
      </c>
      <c r="HB6" t="e">
        <f>AND(#REF!,"AAAAAHv/+tE=")</f>
        <v>#REF!</v>
      </c>
      <c r="HC6" t="e">
        <f>IF(#REF!,"AAAAAHv/+tI=",0)</f>
        <v>#REF!</v>
      </c>
      <c r="HD6" t="e">
        <f>IF(#REF!,"AAAAAHv/+tM=",0)</f>
        <v>#REF!</v>
      </c>
      <c r="HE6" t="e">
        <f>IF(#REF!,"AAAAAHv/+tQ=",0)</f>
        <v>#REF!</v>
      </c>
      <c r="HF6" t="e">
        <f>IF(#REF!,"AAAAAHv/+tU=",0)</f>
        <v>#REF!</v>
      </c>
      <c r="HG6" t="e">
        <f>IF(#REF!,"AAAAAHv/+tY=",0)</f>
        <v>#REF!</v>
      </c>
      <c r="HH6" t="e">
        <f>IF(#REF!,"AAAAAHv/+tc=",0)</f>
        <v>#REF!</v>
      </c>
      <c r="HI6" t="e">
        <f>IF(#REF!,"AAAAAHv/+tg=",0)</f>
        <v>#REF!</v>
      </c>
      <c r="HJ6" t="e">
        <f>IF(#REF!,"AAAAAHv/+tk=",0)</f>
        <v>#REF!</v>
      </c>
      <c r="HK6" t="e">
        <f>IF(#REF!,"AAAAAHv/+to=",0)</f>
        <v>#REF!</v>
      </c>
      <c r="HL6" t="e">
        <f>IF(#REF!,"AAAAAHv/+ts=",0)</f>
        <v>#REF!</v>
      </c>
      <c r="HM6" t="e">
        <f>AND(#REF!,"AAAAAHv/+tw=")</f>
        <v>#REF!</v>
      </c>
      <c r="HN6" t="e">
        <f>AND(#REF!,"AAAAAHv/+t0=")</f>
        <v>#REF!</v>
      </c>
      <c r="HO6" t="e">
        <f>AND(#REF!,"AAAAAHv/+t4=")</f>
        <v>#REF!</v>
      </c>
      <c r="HP6" t="e">
        <f>AND(#REF!,"AAAAAHv/+t8=")</f>
        <v>#REF!</v>
      </c>
      <c r="HQ6" t="e">
        <f>AND(#REF!,"AAAAAHv/+uA=")</f>
        <v>#REF!</v>
      </c>
      <c r="HR6" t="e">
        <f>AND(#REF!,"AAAAAHv/+uE=")</f>
        <v>#REF!</v>
      </c>
      <c r="HS6" t="e">
        <f>AND(#REF!,"AAAAAHv/+uI=")</f>
        <v>#REF!</v>
      </c>
      <c r="HT6" t="e">
        <f>AND(#REF!,"AAAAAHv/+uM=")</f>
        <v>#REF!</v>
      </c>
      <c r="HU6" t="e">
        <f>IF(#REF!,"AAAAAHv/+uQ=",0)</f>
        <v>#REF!</v>
      </c>
      <c r="HV6" t="e">
        <f>AND(#REF!,"AAAAAHv/+uU=")</f>
        <v>#REF!</v>
      </c>
      <c r="HW6" t="e">
        <f>AND(#REF!,"AAAAAHv/+uY=")</f>
        <v>#REF!</v>
      </c>
      <c r="HX6" t="e">
        <f>AND(#REF!,"AAAAAHv/+uc=")</f>
        <v>#REF!</v>
      </c>
      <c r="HY6" t="e">
        <f>AND(#REF!,"AAAAAHv/+ug=")</f>
        <v>#REF!</v>
      </c>
      <c r="HZ6" t="e">
        <f>AND(#REF!,"AAAAAHv/+uk=")</f>
        <v>#REF!</v>
      </c>
      <c r="IA6" t="e">
        <f>AND(#REF!,"AAAAAHv/+uo=")</f>
        <v>#REF!</v>
      </c>
      <c r="IB6" t="e">
        <f>AND(#REF!,"AAAAAHv/+us=")</f>
        <v>#REF!</v>
      </c>
      <c r="IC6" t="e">
        <f>AND(#REF!,"AAAAAHv/+uw=")</f>
        <v>#REF!</v>
      </c>
      <c r="ID6" t="e">
        <f>IF(#REF!,"AAAAAHv/+u0=",0)</f>
        <v>#REF!</v>
      </c>
      <c r="IE6" t="e">
        <f>AND(#REF!,"AAAAAHv/+u4=")</f>
        <v>#REF!</v>
      </c>
      <c r="IF6" t="e">
        <f>AND(#REF!,"AAAAAHv/+u8=")</f>
        <v>#REF!</v>
      </c>
      <c r="IG6" t="e">
        <f>AND(#REF!,"AAAAAHv/+vA=")</f>
        <v>#REF!</v>
      </c>
      <c r="IH6" t="e">
        <f>AND(#REF!,"AAAAAHv/+vE=")</f>
        <v>#REF!</v>
      </c>
      <c r="II6" t="e">
        <f>AND(#REF!,"AAAAAHv/+vI=")</f>
        <v>#REF!</v>
      </c>
      <c r="IJ6" t="e">
        <f>AND(#REF!,"AAAAAHv/+vM=")</f>
        <v>#REF!</v>
      </c>
      <c r="IK6" t="e">
        <f>AND(#REF!,"AAAAAHv/+vQ=")</f>
        <v>#REF!</v>
      </c>
      <c r="IL6" t="e">
        <f>AND(#REF!,"AAAAAHv/+vU=")</f>
        <v>#REF!</v>
      </c>
      <c r="IM6" t="e">
        <f>IF(#REF!,"AAAAAHv/+vY=",0)</f>
        <v>#REF!</v>
      </c>
      <c r="IN6" t="e">
        <f>AND(#REF!,"AAAAAHv/+vc=")</f>
        <v>#REF!</v>
      </c>
      <c r="IO6" t="e">
        <f>AND(#REF!,"AAAAAHv/+vg=")</f>
        <v>#REF!</v>
      </c>
      <c r="IP6" t="e">
        <f>AND(#REF!,"AAAAAHv/+vk=")</f>
        <v>#REF!</v>
      </c>
      <c r="IQ6" t="e">
        <f>AND(#REF!,"AAAAAHv/+vo=")</f>
        <v>#REF!</v>
      </c>
      <c r="IR6" t="e">
        <f>AND(#REF!,"AAAAAHv/+vs=")</f>
        <v>#REF!</v>
      </c>
      <c r="IS6" t="e">
        <f>AND(#REF!,"AAAAAHv/+vw=")</f>
        <v>#REF!</v>
      </c>
      <c r="IT6" t="e">
        <f>AND(#REF!,"AAAAAHv/+v0=")</f>
        <v>#REF!</v>
      </c>
      <c r="IU6" t="e">
        <f>AND(#REF!,"AAAAAHv/+v4=")</f>
        <v>#REF!</v>
      </c>
      <c r="IV6" t="e">
        <f>IF(#REF!,"AAAAAHv/+v8=",0)</f>
        <v>#REF!</v>
      </c>
    </row>
    <row r="7" spans="1:256">
      <c r="A7" t="e">
        <f>AND(#REF!,"AAAAAF/Z3wA=")</f>
        <v>#REF!</v>
      </c>
      <c r="B7" t="e">
        <f>AND(#REF!,"AAAAAF/Z3wE=")</f>
        <v>#REF!</v>
      </c>
      <c r="C7" t="e">
        <f>AND(#REF!,"AAAAAF/Z3wI=")</f>
        <v>#REF!</v>
      </c>
      <c r="D7" t="e">
        <f>AND(#REF!,"AAAAAF/Z3wM=")</f>
        <v>#REF!</v>
      </c>
      <c r="E7" t="e">
        <f>AND(#REF!,"AAAAAF/Z3wQ=")</f>
        <v>#REF!</v>
      </c>
      <c r="F7" t="e">
        <f>AND(#REF!,"AAAAAF/Z3wU=")</f>
        <v>#REF!</v>
      </c>
      <c r="G7" t="e">
        <f>AND(#REF!,"AAAAAF/Z3wY=")</f>
        <v>#REF!</v>
      </c>
      <c r="H7" t="e">
        <f>AND(#REF!,"AAAAAF/Z3wc=")</f>
        <v>#REF!</v>
      </c>
      <c r="I7" t="e">
        <f>IF(#REF!,"AAAAAF/Z3wg=",0)</f>
        <v>#REF!</v>
      </c>
      <c r="J7" t="e">
        <f>AND(#REF!,"AAAAAF/Z3wk=")</f>
        <v>#REF!</v>
      </c>
      <c r="K7" t="e">
        <f>AND(#REF!,"AAAAAF/Z3wo=")</f>
        <v>#REF!</v>
      </c>
      <c r="L7" t="e">
        <f>AND(#REF!,"AAAAAF/Z3ws=")</f>
        <v>#REF!</v>
      </c>
      <c r="M7" t="e">
        <f>AND(#REF!,"AAAAAF/Z3ww=")</f>
        <v>#REF!</v>
      </c>
      <c r="N7" t="e">
        <f>AND(#REF!,"AAAAAF/Z3w0=")</f>
        <v>#REF!</v>
      </c>
      <c r="O7" t="e">
        <f>AND(#REF!,"AAAAAF/Z3w4=")</f>
        <v>#REF!</v>
      </c>
      <c r="P7" t="e">
        <f>AND(#REF!,"AAAAAF/Z3w8=")</f>
        <v>#REF!</v>
      </c>
      <c r="Q7" t="e">
        <f>AND(#REF!,"AAAAAF/Z3xA=")</f>
        <v>#REF!</v>
      </c>
      <c r="R7" t="e">
        <f>IF(#REF!,"AAAAAF/Z3xE=",0)</f>
        <v>#REF!</v>
      </c>
      <c r="S7" t="e">
        <f>AND(#REF!,"AAAAAF/Z3xI=")</f>
        <v>#REF!</v>
      </c>
      <c r="T7" t="e">
        <f>AND(#REF!,"AAAAAF/Z3xM=")</f>
        <v>#REF!</v>
      </c>
      <c r="U7" t="e">
        <f>AND(#REF!,"AAAAAF/Z3xQ=")</f>
        <v>#REF!</v>
      </c>
      <c r="V7" t="e">
        <f>AND(#REF!,"AAAAAF/Z3xU=")</f>
        <v>#REF!</v>
      </c>
      <c r="W7" t="e">
        <f>AND(#REF!,"AAAAAF/Z3xY=")</f>
        <v>#REF!</v>
      </c>
      <c r="X7" t="e">
        <f>AND(#REF!,"AAAAAF/Z3xc=")</f>
        <v>#REF!</v>
      </c>
      <c r="Y7" t="e">
        <f>AND(#REF!,"AAAAAF/Z3xg=")</f>
        <v>#REF!</v>
      </c>
      <c r="Z7" t="e">
        <f>AND(#REF!,"AAAAAF/Z3xk=")</f>
        <v>#REF!</v>
      </c>
      <c r="AA7" t="e">
        <f>IF(#REF!,"AAAAAF/Z3xo=",0)</f>
        <v>#REF!</v>
      </c>
      <c r="AB7" t="e">
        <f>AND(#REF!,"AAAAAF/Z3xs=")</f>
        <v>#REF!</v>
      </c>
      <c r="AC7" t="e">
        <f>AND(#REF!,"AAAAAF/Z3xw=")</f>
        <v>#REF!</v>
      </c>
      <c r="AD7" t="e">
        <f>AND(#REF!,"AAAAAF/Z3x0=")</f>
        <v>#REF!</v>
      </c>
      <c r="AE7" t="e">
        <f>AND(#REF!,"AAAAAF/Z3x4=")</f>
        <v>#REF!</v>
      </c>
      <c r="AF7" t="e">
        <f>AND(#REF!,"AAAAAF/Z3x8=")</f>
        <v>#REF!</v>
      </c>
      <c r="AG7" t="e">
        <f>AND(#REF!,"AAAAAF/Z3yA=")</f>
        <v>#REF!</v>
      </c>
      <c r="AH7" t="e">
        <f>AND(#REF!,"AAAAAF/Z3yE=")</f>
        <v>#REF!</v>
      </c>
      <c r="AI7" t="e">
        <f>AND(#REF!,"AAAAAF/Z3yI=")</f>
        <v>#REF!</v>
      </c>
      <c r="AJ7" t="e">
        <f>IF(#REF!,"AAAAAF/Z3yM=",0)</f>
        <v>#REF!</v>
      </c>
      <c r="AK7" t="e">
        <f>AND(#REF!,"AAAAAF/Z3yQ=")</f>
        <v>#REF!</v>
      </c>
      <c r="AL7" t="e">
        <f>AND(#REF!,"AAAAAF/Z3yU=")</f>
        <v>#REF!</v>
      </c>
      <c r="AM7" t="e">
        <f>AND(#REF!,"AAAAAF/Z3yY=")</f>
        <v>#REF!</v>
      </c>
      <c r="AN7" t="e">
        <f>AND(#REF!,"AAAAAF/Z3yc=")</f>
        <v>#REF!</v>
      </c>
      <c r="AO7" t="e">
        <f>AND(#REF!,"AAAAAF/Z3yg=")</f>
        <v>#REF!</v>
      </c>
      <c r="AP7" t="e">
        <f>AND(#REF!,"AAAAAF/Z3yk=")</f>
        <v>#REF!</v>
      </c>
      <c r="AQ7" t="e">
        <f>AND(#REF!,"AAAAAF/Z3yo=")</f>
        <v>#REF!</v>
      </c>
      <c r="AR7" t="e">
        <f>AND(#REF!,"AAAAAF/Z3ys=")</f>
        <v>#REF!</v>
      </c>
      <c r="AS7" t="e">
        <f>IF(#REF!,"AAAAAF/Z3yw=",0)</f>
        <v>#REF!</v>
      </c>
      <c r="AT7" t="e">
        <f>AND(#REF!,"AAAAAF/Z3y0=")</f>
        <v>#REF!</v>
      </c>
      <c r="AU7" t="e">
        <f>AND(#REF!,"AAAAAF/Z3y4=")</f>
        <v>#REF!</v>
      </c>
      <c r="AV7" t="e">
        <f>AND(#REF!,"AAAAAF/Z3y8=")</f>
        <v>#REF!</v>
      </c>
      <c r="AW7" t="e">
        <f>AND(#REF!,"AAAAAF/Z3zA=")</f>
        <v>#REF!</v>
      </c>
      <c r="AX7" t="e">
        <f>AND(#REF!,"AAAAAF/Z3zE=")</f>
        <v>#REF!</v>
      </c>
      <c r="AY7" t="e">
        <f>AND(#REF!,"AAAAAF/Z3zI=")</f>
        <v>#REF!</v>
      </c>
      <c r="AZ7" t="e">
        <f>AND(#REF!,"AAAAAF/Z3zM=")</f>
        <v>#REF!</v>
      </c>
      <c r="BA7" t="e">
        <f>AND(#REF!,"AAAAAF/Z3zQ=")</f>
        <v>#REF!</v>
      </c>
      <c r="BB7" t="e">
        <f>IF(#REF!,"AAAAAF/Z3zU=",0)</f>
        <v>#REF!</v>
      </c>
      <c r="BC7" t="e">
        <f>AND(#REF!,"AAAAAF/Z3zY=")</f>
        <v>#REF!</v>
      </c>
      <c r="BD7" t="e">
        <f>AND(#REF!,"AAAAAF/Z3zc=")</f>
        <v>#REF!</v>
      </c>
      <c r="BE7" t="e">
        <f>AND(#REF!,"AAAAAF/Z3zg=")</f>
        <v>#REF!</v>
      </c>
      <c r="BF7" t="e">
        <f>AND(#REF!,"AAAAAF/Z3zk=")</f>
        <v>#REF!</v>
      </c>
      <c r="BG7" t="e">
        <f>AND(#REF!,"AAAAAF/Z3zo=")</f>
        <v>#REF!</v>
      </c>
      <c r="BH7" t="e">
        <f>AND(#REF!,"AAAAAF/Z3zs=")</f>
        <v>#REF!</v>
      </c>
      <c r="BI7" t="e">
        <f>AND(#REF!,"AAAAAF/Z3zw=")</f>
        <v>#REF!</v>
      </c>
      <c r="BJ7" t="e">
        <f>AND(#REF!,"AAAAAF/Z3z0=")</f>
        <v>#REF!</v>
      </c>
      <c r="BK7" t="e">
        <f>IF(#REF!,"AAAAAF/Z3z4=",0)</f>
        <v>#REF!</v>
      </c>
      <c r="BL7" t="e">
        <f>AND(#REF!,"AAAAAF/Z3z8=")</f>
        <v>#REF!</v>
      </c>
      <c r="BM7" t="e">
        <f>IF(#REF!,"AAAAAF/Z30A=",0)</f>
        <v>#REF!</v>
      </c>
      <c r="BN7" t="e">
        <f>IF(#REF!,"AAAAAF/Z30E=",0)</f>
        <v>#REF!</v>
      </c>
      <c r="BO7" t="e">
        <f>IF(#REF!,"AAAAAF/Z30I=",0)</f>
        <v>#REF!</v>
      </c>
      <c r="BP7" t="e">
        <f>IF(#REF!,"AAAAAF/Z30M=",0)</f>
        <v>#REF!</v>
      </c>
      <c r="BQ7" t="e">
        <f>IF(#REF!,"AAAAAF/Z30Q=",0)</f>
        <v>#REF!</v>
      </c>
      <c r="BR7" t="e">
        <f>IF(#REF!,"AAAAAF/Z30U=",0)</f>
        <v>#REF!</v>
      </c>
      <c r="BS7" t="e">
        <f>IF(#REF!,"AAAAAF/Z30Y=",0)</f>
        <v>#REF!</v>
      </c>
      <c r="BT7" t="e">
        <f>IF(#REF!,"AAAAAF/Z30c=",0)</f>
        <v>#REF!</v>
      </c>
      <c r="BU7" t="e">
        <f>IF(#REF!,"AAAAAF/Z30g=",0)</f>
        <v>#REF!</v>
      </c>
      <c r="BV7" t="e">
        <f>AND(#REF!,"AAAAAF/Z30k=")</f>
        <v>#REF!</v>
      </c>
      <c r="BW7" t="e">
        <f>AND(#REF!,"AAAAAF/Z30o=")</f>
        <v>#REF!</v>
      </c>
      <c r="BX7" t="e">
        <f>AND(#REF!,"AAAAAF/Z30s=")</f>
        <v>#REF!</v>
      </c>
      <c r="BY7" t="e">
        <f>AND(#REF!,"AAAAAF/Z30w=")</f>
        <v>#REF!</v>
      </c>
      <c r="BZ7" t="e">
        <f>AND(#REF!,"AAAAAF/Z300=")</f>
        <v>#REF!</v>
      </c>
      <c r="CA7" t="e">
        <f>AND(#REF!,"AAAAAF/Z304=")</f>
        <v>#REF!</v>
      </c>
      <c r="CB7" t="e">
        <f>AND(#REF!,"AAAAAF/Z308=")</f>
        <v>#REF!</v>
      </c>
      <c r="CC7" t="e">
        <f>AND(#REF!,"AAAAAF/Z31A=")</f>
        <v>#REF!</v>
      </c>
      <c r="CD7" t="e">
        <f>IF(#REF!,"AAAAAF/Z31E=",0)</f>
        <v>#REF!</v>
      </c>
      <c r="CE7" t="e">
        <f>AND(#REF!,"AAAAAF/Z31I=")</f>
        <v>#REF!</v>
      </c>
      <c r="CF7" t="e">
        <f>AND(#REF!,"AAAAAF/Z31M=")</f>
        <v>#REF!</v>
      </c>
      <c r="CG7" t="e">
        <f>AND(#REF!,"AAAAAF/Z31Q=")</f>
        <v>#REF!</v>
      </c>
      <c r="CH7" t="e">
        <f>AND(#REF!,"AAAAAF/Z31U=")</f>
        <v>#REF!</v>
      </c>
      <c r="CI7" t="e">
        <f>AND(#REF!,"AAAAAF/Z31Y=")</f>
        <v>#REF!</v>
      </c>
      <c r="CJ7" t="e">
        <f>AND(#REF!,"AAAAAF/Z31c=")</f>
        <v>#REF!</v>
      </c>
      <c r="CK7" t="e">
        <f>AND(#REF!,"AAAAAF/Z31g=")</f>
        <v>#REF!</v>
      </c>
      <c r="CL7" t="e">
        <f>AND(#REF!,"AAAAAF/Z31k=")</f>
        <v>#REF!</v>
      </c>
      <c r="CM7" t="e">
        <f>IF(#REF!,"AAAAAF/Z31o=",0)</f>
        <v>#REF!</v>
      </c>
      <c r="CN7" t="e">
        <f>AND(#REF!,"AAAAAF/Z31s=")</f>
        <v>#REF!</v>
      </c>
      <c r="CO7" t="e">
        <f>AND(#REF!,"AAAAAF/Z31w=")</f>
        <v>#REF!</v>
      </c>
      <c r="CP7" t="e">
        <f>AND(#REF!,"AAAAAF/Z310=")</f>
        <v>#REF!</v>
      </c>
      <c r="CQ7" t="e">
        <f>AND(#REF!,"AAAAAF/Z314=")</f>
        <v>#REF!</v>
      </c>
      <c r="CR7" t="e">
        <f>AND(#REF!,"AAAAAF/Z318=")</f>
        <v>#REF!</v>
      </c>
      <c r="CS7" t="e">
        <f>AND(#REF!,"AAAAAF/Z32A=")</f>
        <v>#REF!</v>
      </c>
      <c r="CT7" t="e">
        <f>AND(#REF!,"AAAAAF/Z32E=")</f>
        <v>#REF!</v>
      </c>
      <c r="CU7" t="e">
        <f>AND(#REF!,"AAAAAF/Z32I=")</f>
        <v>#REF!</v>
      </c>
      <c r="CV7" t="e">
        <f>IF(#REF!,"AAAAAF/Z32M=",0)</f>
        <v>#REF!</v>
      </c>
      <c r="CW7" t="e">
        <f>AND(#REF!,"AAAAAF/Z32Q=")</f>
        <v>#REF!</v>
      </c>
      <c r="CX7" t="e">
        <f>AND(#REF!,"AAAAAF/Z32U=")</f>
        <v>#REF!</v>
      </c>
      <c r="CY7" t="e">
        <f>AND(#REF!,"AAAAAF/Z32Y=")</f>
        <v>#REF!</v>
      </c>
      <c r="CZ7" t="e">
        <f>AND(#REF!,"AAAAAF/Z32c=")</f>
        <v>#REF!</v>
      </c>
      <c r="DA7" t="e">
        <f>AND(#REF!,"AAAAAF/Z32g=")</f>
        <v>#REF!</v>
      </c>
      <c r="DB7" t="e">
        <f>AND(#REF!,"AAAAAF/Z32k=")</f>
        <v>#REF!</v>
      </c>
      <c r="DC7" t="e">
        <f>AND(#REF!,"AAAAAF/Z32o=")</f>
        <v>#REF!</v>
      </c>
      <c r="DD7" t="e">
        <f>AND(#REF!,"AAAAAF/Z32s=")</f>
        <v>#REF!</v>
      </c>
      <c r="DE7" t="e">
        <f>IF(#REF!,"AAAAAF/Z32w=",0)</f>
        <v>#REF!</v>
      </c>
      <c r="DF7" t="e">
        <f>AND(#REF!,"AAAAAF/Z320=")</f>
        <v>#REF!</v>
      </c>
      <c r="DG7" t="e">
        <f>AND(#REF!,"AAAAAF/Z324=")</f>
        <v>#REF!</v>
      </c>
      <c r="DH7" t="e">
        <f>AND(#REF!,"AAAAAF/Z328=")</f>
        <v>#REF!</v>
      </c>
      <c r="DI7" t="e">
        <f>AND(#REF!,"AAAAAF/Z33A=")</f>
        <v>#REF!</v>
      </c>
      <c r="DJ7" t="e">
        <f>AND(#REF!,"AAAAAF/Z33E=")</f>
        <v>#REF!</v>
      </c>
      <c r="DK7" t="e">
        <f>AND(#REF!,"AAAAAF/Z33I=")</f>
        <v>#REF!</v>
      </c>
      <c r="DL7" t="e">
        <f>AND(#REF!,"AAAAAF/Z33M=")</f>
        <v>#REF!</v>
      </c>
      <c r="DM7" t="e">
        <f>AND(#REF!,"AAAAAF/Z33Q=")</f>
        <v>#REF!</v>
      </c>
      <c r="DN7" t="e">
        <f>IF(#REF!,"AAAAAF/Z33U=",0)</f>
        <v>#REF!</v>
      </c>
      <c r="DO7" t="e">
        <f>AND(#REF!,"AAAAAF/Z33Y=")</f>
        <v>#REF!</v>
      </c>
      <c r="DP7" t="e">
        <f>AND(#REF!,"AAAAAF/Z33c=")</f>
        <v>#REF!</v>
      </c>
      <c r="DQ7" t="e">
        <f>AND(#REF!,"AAAAAF/Z33g=")</f>
        <v>#REF!</v>
      </c>
      <c r="DR7" t="e">
        <f>AND(#REF!,"AAAAAF/Z33k=")</f>
        <v>#REF!</v>
      </c>
      <c r="DS7" t="e">
        <f>AND(#REF!,"AAAAAF/Z33o=")</f>
        <v>#REF!</v>
      </c>
      <c r="DT7" t="e">
        <f>AND(#REF!,"AAAAAF/Z33s=")</f>
        <v>#REF!</v>
      </c>
      <c r="DU7" t="e">
        <f>AND(#REF!,"AAAAAF/Z33w=")</f>
        <v>#REF!</v>
      </c>
      <c r="DV7" t="e">
        <f>AND(#REF!,"AAAAAF/Z330=")</f>
        <v>#REF!</v>
      </c>
      <c r="DW7" t="e">
        <f>IF(#REF!,"AAAAAF/Z334=",0)</f>
        <v>#REF!</v>
      </c>
      <c r="DX7" t="e">
        <f>AND(#REF!,"AAAAAF/Z338=")</f>
        <v>#REF!</v>
      </c>
      <c r="DY7" t="e">
        <f>AND(#REF!,"AAAAAF/Z34A=")</f>
        <v>#REF!</v>
      </c>
      <c r="DZ7" t="e">
        <f>AND(#REF!,"AAAAAF/Z34E=")</f>
        <v>#REF!</v>
      </c>
      <c r="EA7" t="e">
        <f>AND(#REF!,"AAAAAF/Z34I=")</f>
        <v>#REF!</v>
      </c>
      <c r="EB7" t="e">
        <f>AND(#REF!,"AAAAAF/Z34M=")</f>
        <v>#REF!</v>
      </c>
      <c r="EC7" t="e">
        <f>AND(#REF!,"AAAAAF/Z34Q=")</f>
        <v>#REF!</v>
      </c>
      <c r="ED7" t="e">
        <f>AND(#REF!,"AAAAAF/Z34U=")</f>
        <v>#REF!</v>
      </c>
      <c r="EE7" t="e">
        <f>AND(#REF!,"AAAAAF/Z34Y=")</f>
        <v>#REF!</v>
      </c>
      <c r="EF7" t="e">
        <f>IF(#REF!,"AAAAAF/Z34c=",0)</f>
        <v>#REF!</v>
      </c>
      <c r="EG7" t="e">
        <f>AND(#REF!,"AAAAAF/Z34g=")</f>
        <v>#REF!</v>
      </c>
      <c r="EH7" t="e">
        <f>AND(#REF!,"AAAAAF/Z34k=")</f>
        <v>#REF!</v>
      </c>
      <c r="EI7" t="e">
        <f>AND(#REF!,"AAAAAF/Z34o=")</f>
        <v>#REF!</v>
      </c>
      <c r="EJ7" t="e">
        <f>AND(#REF!,"AAAAAF/Z34s=")</f>
        <v>#REF!</v>
      </c>
      <c r="EK7" t="e">
        <f>AND(#REF!,"AAAAAF/Z34w=")</f>
        <v>#REF!</v>
      </c>
      <c r="EL7" t="e">
        <f>AND(#REF!,"AAAAAF/Z340=")</f>
        <v>#REF!</v>
      </c>
      <c r="EM7" t="e">
        <f>AND(#REF!,"AAAAAF/Z344=")</f>
        <v>#REF!</v>
      </c>
      <c r="EN7" t="e">
        <f>AND(#REF!,"AAAAAF/Z348=")</f>
        <v>#REF!</v>
      </c>
      <c r="EO7" t="e">
        <f>IF(#REF!,"AAAAAF/Z35A=",0)</f>
        <v>#REF!</v>
      </c>
      <c r="EP7" t="e">
        <f>AND(#REF!,"AAAAAF/Z35E=")</f>
        <v>#REF!</v>
      </c>
      <c r="EQ7" t="e">
        <f>AND(#REF!,"AAAAAF/Z35I=")</f>
        <v>#REF!</v>
      </c>
      <c r="ER7" t="e">
        <f>AND(#REF!,"AAAAAF/Z35M=")</f>
        <v>#REF!</v>
      </c>
      <c r="ES7" t="e">
        <f>AND(#REF!,"AAAAAF/Z35Q=")</f>
        <v>#REF!</v>
      </c>
      <c r="ET7" t="e">
        <f>AND(#REF!,"AAAAAF/Z35U=")</f>
        <v>#REF!</v>
      </c>
      <c r="EU7" t="e">
        <f>AND(#REF!,"AAAAAF/Z35Y=")</f>
        <v>#REF!</v>
      </c>
      <c r="EV7" t="e">
        <f>AND(#REF!,"AAAAAF/Z35c=")</f>
        <v>#REF!</v>
      </c>
      <c r="EW7" t="e">
        <f>AND(#REF!,"AAAAAF/Z35g=")</f>
        <v>#REF!</v>
      </c>
      <c r="EX7" t="e">
        <f>IF(#REF!,"AAAAAF/Z35k=",0)</f>
        <v>#REF!</v>
      </c>
      <c r="EY7" t="e">
        <f>AND(#REF!,"AAAAAF/Z35o=")</f>
        <v>#REF!</v>
      </c>
      <c r="EZ7" t="e">
        <f>AND(#REF!,"AAAAAF/Z35s=")</f>
        <v>#REF!</v>
      </c>
      <c r="FA7" t="e">
        <f>AND(#REF!,"AAAAAF/Z35w=")</f>
        <v>#REF!</v>
      </c>
      <c r="FB7" t="e">
        <f>AND(#REF!,"AAAAAF/Z350=")</f>
        <v>#REF!</v>
      </c>
      <c r="FC7" t="e">
        <f>AND(#REF!,"AAAAAF/Z354=")</f>
        <v>#REF!</v>
      </c>
      <c r="FD7" t="e">
        <f>AND(#REF!,"AAAAAF/Z358=")</f>
        <v>#REF!</v>
      </c>
      <c r="FE7" t="e">
        <f>AND(#REF!,"AAAAAF/Z36A=")</f>
        <v>#REF!</v>
      </c>
      <c r="FF7" t="e">
        <f>AND(#REF!,"AAAAAF/Z36E=")</f>
        <v>#REF!</v>
      </c>
      <c r="FG7" t="e">
        <f>IF(#REF!,"AAAAAF/Z36I=",0)</f>
        <v>#REF!</v>
      </c>
      <c r="FH7" t="e">
        <f>AND(#REF!,"AAAAAF/Z36M=")</f>
        <v>#REF!</v>
      </c>
      <c r="FI7" t="e">
        <f>AND(#REF!,"AAAAAF/Z36Q=")</f>
        <v>#REF!</v>
      </c>
      <c r="FJ7" t="e">
        <f>AND(#REF!,"AAAAAF/Z36U=")</f>
        <v>#REF!</v>
      </c>
      <c r="FK7" t="e">
        <f>AND(#REF!,"AAAAAF/Z36Y=")</f>
        <v>#REF!</v>
      </c>
      <c r="FL7" t="e">
        <f>AND(#REF!,"AAAAAF/Z36c=")</f>
        <v>#REF!</v>
      </c>
      <c r="FM7" t="e">
        <f>AND(#REF!,"AAAAAF/Z36g=")</f>
        <v>#REF!</v>
      </c>
      <c r="FN7" t="e">
        <f>AND(#REF!,"AAAAAF/Z36k=")</f>
        <v>#REF!</v>
      </c>
      <c r="FO7" t="e">
        <f>AND(#REF!,"AAAAAF/Z36o=")</f>
        <v>#REF!</v>
      </c>
      <c r="FP7" t="e">
        <f>IF(#REF!,"AAAAAF/Z36s=",0)</f>
        <v>#REF!</v>
      </c>
      <c r="FQ7" t="e">
        <f>AND(#REF!,"AAAAAF/Z36w=")</f>
        <v>#REF!</v>
      </c>
      <c r="FR7" t="e">
        <f>AND(#REF!,"AAAAAF/Z360=")</f>
        <v>#REF!</v>
      </c>
      <c r="FS7" t="e">
        <f>AND(#REF!,"AAAAAF/Z364=")</f>
        <v>#REF!</v>
      </c>
      <c r="FT7" t="e">
        <f>AND(#REF!,"AAAAAF/Z368=")</f>
        <v>#REF!</v>
      </c>
      <c r="FU7" t="e">
        <f>AND(#REF!,"AAAAAF/Z37A=")</f>
        <v>#REF!</v>
      </c>
      <c r="FV7" t="e">
        <f>AND(#REF!,"AAAAAF/Z37E=")</f>
        <v>#REF!</v>
      </c>
      <c r="FW7" t="e">
        <f>AND(#REF!,"AAAAAF/Z37I=")</f>
        <v>#REF!</v>
      </c>
      <c r="FX7" t="e">
        <f>AND(#REF!,"AAAAAF/Z37M=")</f>
        <v>#REF!</v>
      </c>
      <c r="FY7" t="e">
        <f>IF(#REF!,"AAAAAF/Z37Q=",0)</f>
        <v>#REF!</v>
      </c>
      <c r="FZ7" t="e">
        <f>AND(#REF!,"AAAAAF/Z37U=")</f>
        <v>#REF!</v>
      </c>
      <c r="GA7" t="e">
        <f>AND(#REF!,"AAAAAF/Z37Y=")</f>
        <v>#REF!</v>
      </c>
      <c r="GB7" t="e">
        <f>AND(#REF!,"AAAAAF/Z37c=")</f>
        <v>#REF!</v>
      </c>
      <c r="GC7" t="e">
        <f>AND(#REF!,"AAAAAF/Z37g=")</f>
        <v>#REF!</v>
      </c>
      <c r="GD7" t="e">
        <f>AND(#REF!,"AAAAAF/Z37k=")</f>
        <v>#REF!</v>
      </c>
      <c r="GE7" t="e">
        <f>AND(#REF!,"AAAAAF/Z37o=")</f>
        <v>#REF!</v>
      </c>
      <c r="GF7" t="e">
        <f>AND(#REF!,"AAAAAF/Z37s=")</f>
        <v>#REF!</v>
      </c>
      <c r="GG7" t="e">
        <f>AND(#REF!,"AAAAAF/Z37w=")</f>
        <v>#REF!</v>
      </c>
      <c r="GH7" t="e">
        <f>IF(#REF!,"AAAAAF/Z370=",0)</f>
        <v>#REF!</v>
      </c>
      <c r="GI7" t="e">
        <f>AND(#REF!,"AAAAAF/Z374=")</f>
        <v>#REF!</v>
      </c>
      <c r="GJ7" t="e">
        <f>AND(#REF!,"AAAAAF/Z378=")</f>
        <v>#REF!</v>
      </c>
      <c r="GK7" t="e">
        <f>AND(#REF!,"AAAAAF/Z38A=")</f>
        <v>#REF!</v>
      </c>
      <c r="GL7" t="e">
        <f>AND(#REF!,"AAAAAF/Z38E=")</f>
        <v>#REF!</v>
      </c>
      <c r="GM7" t="e">
        <f>AND(#REF!,"AAAAAF/Z38I=")</f>
        <v>#REF!</v>
      </c>
      <c r="GN7" t="e">
        <f>AND(#REF!,"AAAAAF/Z38M=")</f>
        <v>#REF!</v>
      </c>
      <c r="GO7" t="e">
        <f>AND(#REF!,"AAAAAF/Z38Q=")</f>
        <v>#REF!</v>
      </c>
      <c r="GP7" t="e">
        <f>AND(#REF!,"AAAAAF/Z38U=")</f>
        <v>#REF!</v>
      </c>
      <c r="GQ7" t="e">
        <f>IF(#REF!,"AAAAAF/Z38Y=",0)</f>
        <v>#REF!</v>
      </c>
      <c r="GR7" t="e">
        <f>IF(#REF!,"AAAAAF/Z38c=",0)</f>
        <v>#REF!</v>
      </c>
      <c r="GS7" t="e">
        <f>IF(#REF!,"AAAAAF/Z38g=",0)</f>
        <v>#REF!</v>
      </c>
      <c r="GT7" t="e">
        <f>IF(#REF!,"AAAAAF/Z38k=",0)</f>
        <v>#REF!</v>
      </c>
      <c r="GU7" t="e">
        <f>IF(#REF!,"AAAAAF/Z38o=",0)</f>
        <v>#REF!</v>
      </c>
      <c r="GV7" t="e">
        <f>IF(#REF!,"AAAAAF/Z38s=",0)</f>
        <v>#REF!</v>
      </c>
      <c r="GW7" t="e">
        <f>IF(#REF!,"AAAAAF/Z38w=",0)</f>
        <v>#REF!</v>
      </c>
      <c r="GX7" t="e">
        <f>IF(#REF!,"AAAAAF/Z380=",0)</f>
        <v>#REF!</v>
      </c>
      <c r="GY7" t="e">
        <f>IF(#REF!,"AAAAAF/Z384=",0)</f>
        <v>#REF!</v>
      </c>
      <c r="GZ7" t="e">
        <f>IF(#REF!,"AAAAAF/Z388=",0)</f>
        <v>#REF!</v>
      </c>
      <c r="HA7" t="e">
        <f>IF(#REF!,"AAAAAF/Z39A=",0)</f>
        <v>#REF!</v>
      </c>
      <c r="HB7" t="e">
        <f>IF(#REF!,"AAAAAF/Z39E=",0)</f>
        <v>#REF!</v>
      </c>
      <c r="HC7" t="e">
        <f>IF(#REF!,"AAAAAF/Z39I=",0)</f>
        <v>#REF!</v>
      </c>
      <c r="HD7" t="e">
        <f>IF(#REF!,"AAAAAF/Z39M=",0)</f>
        <v>#REF!</v>
      </c>
      <c r="HE7" t="e">
        <f>IF(#REF!,"AAAAAF/Z39Q=",0)</f>
        <v>#REF!</v>
      </c>
      <c r="HF7" t="e">
        <f>IF(#REF!,"AAAAAF/Z39U=",0)</f>
        <v>#REF!</v>
      </c>
      <c r="HG7" t="e">
        <f>IF(#REF!,"AAAAAF/Z39Y=",0)</f>
        <v>#REF!</v>
      </c>
      <c r="HH7" t="e">
        <f>IF(#REF!,"AAAAAF/Z39c=",0)</f>
        <v>#REF!</v>
      </c>
      <c r="HI7" t="e">
        <f>IF(#REF!,"AAAAAF/Z39g=",0)</f>
        <v>#REF!</v>
      </c>
      <c r="HJ7" t="e">
        <f>IF(#REF!,"AAAAAF/Z39k=",0)</f>
        <v>#REF!</v>
      </c>
      <c r="HK7" t="e">
        <f>IF(#REF!,"AAAAAF/Z39o=",0)</f>
        <v>#REF!</v>
      </c>
      <c r="HL7" t="e">
        <f>AND(#REF!,"AAAAAF/Z39s=")</f>
        <v>#REF!</v>
      </c>
      <c r="HM7" t="e">
        <f>AND(#REF!,"AAAAAF/Z39w=")</f>
        <v>#REF!</v>
      </c>
      <c r="HN7" t="e">
        <f>AND(#REF!,"AAAAAF/Z390=")</f>
        <v>#REF!</v>
      </c>
      <c r="HO7" t="e">
        <f>AND(#REF!,"AAAAAF/Z394=")</f>
        <v>#REF!</v>
      </c>
      <c r="HP7" t="e">
        <f>AND(#REF!,"AAAAAF/Z398=")</f>
        <v>#REF!</v>
      </c>
      <c r="HQ7" t="e">
        <f>AND(#REF!,"AAAAAF/Z3+A=")</f>
        <v>#REF!</v>
      </c>
      <c r="HR7" t="e">
        <f>AND(#REF!,"AAAAAF/Z3+E=")</f>
        <v>#REF!</v>
      </c>
      <c r="HS7" t="e">
        <f>AND(#REF!,"AAAAAF/Z3+I=")</f>
        <v>#REF!</v>
      </c>
      <c r="HT7" t="e">
        <f>AND(#REF!,"AAAAAF/Z3+M=")</f>
        <v>#REF!</v>
      </c>
      <c r="HU7" t="e">
        <f>AND(#REF!,"AAAAAF/Z3+Q=")</f>
        <v>#REF!</v>
      </c>
      <c r="HV7" t="e">
        <f>IF(#REF!,"AAAAAF/Z3+U=",0)</f>
        <v>#REF!</v>
      </c>
      <c r="HW7" t="e">
        <f>AND(#REF!,"AAAAAF/Z3+Y=")</f>
        <v>#REF!</v>
      </c>
      <c r="HX7" t="e">
        <f>AND(#REF!,"AAAAAF/Z3+c=")</f>
        <v>#REF!</v>
      </c>
      <c r="HY7" t="e">
        <f>AND(#REF!,"AAAAAF/Z3+g=")</f>
        <v>#REF!</v>
      </c>
      <c r="HZ7" t="e">
        <f>AND(#REF!,"AAAAAF/Z3+k=")</f>
        <v>#REF!</v>
      </c>
      <c r="IA7" t="e">
        <f>AND(#REF!,"AAAAAF/Z3+o=")</f>
        <v>#REF!</v>
      </c>
      <c r="IB7" t="e">
        <f>AND(#REF!,"AAAAAF/Z3+s=")</f>
        <v>#REF!</v>
      </c>
      <c r="IC7" t="e">
        <f>AND(#REF!,"AAAAAF/Z3+w=")</f>
        <v>#REF!</v>
      </c>
      <c r="ID7" t="e">
        <f>AND(#REF!,"AAAAAF/Z3+0=")</f>
        <v>#REF!</v>
      </c>
      <c r="IE7" t="e">
        <f>AND(#REF!,"AAAAAF/Z3+4=")</f>
        <v>#REF!</v>
      </c>
      <c r="IF7" t="e">
        <f>AND(#REF!,"AAAAAF/Z3+8=")</f>
        <v>#REF!</v>
      </c>
      <c r="IG7" t="e">
        <f>IF(#REF!,"AAAAAF/Z3/A=",0)</f>
        <v>#REF!</v>
      </c>
      <c r="IH7" t="e">
        <f>AND(#REF!,"AAAAAF/Z3/E=")</f>
        <v>#REF!</v>
      </c>
      <c r="II7" t="e">
        <f>AND(#REF!,"AAAAAF/Z3/I=")</f>
        <v>#REF!</v>
      </c>
      <c r="IJ7" t="e">
        <f>AND(#REF!,"AAAAAF/Z3/M=")</f>
        <v>#REF!</v>
      </c>
      <c r="IK7" t="e">
        <f>AND(#REF!,"AAAAAF/Z3/Q=")</f>
        <v>#REF!</v>
      </c>
      <c r="IL7" t="e">
        <f>AND(#REF!,"AAAAAF/Z3/U=")</f>
        <v>#REF!</v>
      </c>
      <c r="IM7" t="e">
        <f>AND(#REF!,"AAAAAF/Z3/Y=")</f>
        <v>#REF!</v>
      </c>
      <c r="IN7" t="e">
        <f>AND(#REF!,"AAAAAF/Z3/c=")</f>
        <v>#REF!</v>
      </c>
      <c r="IO7" t="e">
        <f>AND(#REF!,"AAAAAF/Z3/g=")</f>
        <v>#REF!</v>
      </c>
      <c r="IP7" t="e">
        <f>AND(#REF!,"AAAAAF/Z3/k=")</f>
        <v>#REF!</v>
      </c>
      <c r="IQ7" t="e">
        <f>AND(#REF!,"AAAAAF/Z3/o=")</f>
        <v>#REF!</v>
      </c>
      <c r="IR7" t="e">
        <f>IF(#REF!,"AAAAAF/Z3/s=",0)</f>
        <v>#REF!</v>
      </c>
      <c r="IS7" t="e">
        <f>AND(#REF!,"AAAAAF/Z3/w=")</f>
        <v>#REF!</v>
      </c>
      <c r="IT7" t="e">
        <f>AND(#REF!,"AAAAAF/Z3/0=")</f>
        <v>#REF!</v>
      </c>
      <c r="IU7" t="e">
        <f>AND(#REF!,"AAAAAF/Z3/4=")</f>
        <v>#REF!</v>
      </c>
      <c r="IV7" t="e">
        <f>AND(#REF!,"AAAAAF/Z3/8=")</f>
        <v>#REF!</v>
      </c>
    </row>
    <row r="8" spans="1:256">
      <c r="A8" t="e">
        <f>AND(#REF!,"AAAAAH9v/wA=")</f>
        <v>#REF!</v>
      </c>
      <c r="B8" t="e">
        <f>AND(#REF!,"AAAAAH9v/wE=")</f>
        <v>#REF!</v>
      </c>
      <c r="C8" t="e">
        <f>AND(#REF!,"AAAAAH9v/wI=")</f>
        <v>#REF!</v>
      </c>
      <c r="D8" t="e">
        <f>AND(#REF!,"AAAAAH9v/wM=")</f>
        <v>#REF!</v>
      </c>
      <c r="E8" t="e">
        <f>AND(#REF!,"AAAAAH9v/wQ=")</f>
        <v>#REF!</v>
      </c>
      <c r="F8" t="e">
        <f>AND(#REF!,"AAAAAH9v/wU=")</f>
        <v>#REF!</v>
      </c>
      <c r="G8" t="e">
        <f>IF(#REF!,"AAAAAH9v/wY=",0)</f>
        <v>#REF!</v>
      </c>
      <c r="H8" t="e">
        <f>AND(#REF!,"AAAAAH9v/wc=")</f>
        <v>#REF!</v>
      </c>
      <c r="I8" t="e">
        <f>AND(#REF!,"AAAAAH9v/wg=")</f>
        <v>#REF!</v>
      </c>
      <c r="J8" t="e">
        <f>AND(#REF!,"AAAAAH9v/wk=")</f>
        <v>#REF!</v>
      </c>
      <c r="K8" t="e">
        <f>AND(#REF!,"AAAAAH9v/wo=")</f>
        <v>#REF!</v>
      </c>
      <c r="L8" t="e">
        <f>AND(#REF!,"AAAAAH9v/ws=")</f>
        <v>#REF!</v>
      </c>
      <c r="M8" t="e">
        <f>AND(#REF!,"AAAAAH9v/ww=")</f>
        <v>#REF!</v>
      </c>
      <c r="N8" t="e">
        <f>AND(#REF!,"AAAAAH9v/w0=")</f>
        <v>#REF!</v>
      </c>
      <c r="O8" t="e">
        <f>AND(#REF!,"AAAAAH9v/w4=")</f>
        <v>#REF!</v>
      </c>
      <c r="P8" t="e">
        <f>AND(#REF!,"AAAAAH9v/w8=")</f>
        <v>#REF!</v>
      </c>
      <c r="Q8" t="e">
        <f>AND(#REF!,"AAAAAH9v/xA=")</f>
        <v>#REF!</v>
      </c>
      <c r="R8" t="e">
        <f>IF(#REF!,"AAAAAH9v/xE=",0)</f>
        <v>#REF!</v>
      </c>
      <c r="S8" t="e">
        <f>AND(#REF!,"AAAAAH9v/xI=")</f>
        <v>#REF!</v>
      </c>
      <c r="T8" t="e">
        <f>AND(#REF!,"AAAAAH9v/xM=")</f>
        <v>#REF!</v>
      </c>
      <c r="U8" t="e">
        <f>AND(#REF!,"AAAAAH9v/xQ=")</f>
        <v>#REF!</v>
      </c>
      <c r="V8" t="e">
        <f>AND(#REF!,"AAAAAH9v/xU=")</f>
        <v>#REF!</v>
      </c>
      <c r="W8" t="e">
        <f>AND(#REF!,"AAAAAH9v/xY=")</f>
        <v>#REF!</v>
      </c>
      <c r="X8" t="e">
        <f>AND(#REF!,"AAAAAH9v/xc=")</f>
        <v>#REF!</v>
      </c>
      <c r="Y8" t="e">
        <f>AND(#REF!,"AAAAAH9v/xg=")</f>
        <v>#REF!</v>
      </c>
      <c r="Z8" t="e">
        <f>AND(#REF!,"AAAAAH9v/xk=")</f>
        <v>#REF!</v>
      </c>
      <c r="AA8" t="e">
        <f>AND(#REF!,"AAAAAH9v/xo=")</f>
        <v>#REF!</v>
      </c>
      <c r="AB8" t="e">
        <f>AND(#REF!,"AAAAAH9v/xs=")</f>
        <v>#REF!</v>
      </c>
      <c r="AC8" t="e">
        <f>IF(#REF!,"AAAAAH9v/xw=",0)</f>
        <v>#REF!</v>
      </c>
      <c r="AD8" t="e">
        <f>AND(#REF!,"AAAAAH9v/x0=")</f>
        <v>#REF!</v>
      </c>
      <c r="AE8" t="e">
        <f>AND(#REF!,"AAAAAH9v/x4=")</f>
        <v>#REF!</v>
      </c>
      <c r="AF8" t="e">
        <f>AND(#REF!,"AAAAAH9v/x8=")</f>
        <v>#REF!</v>
      </c>
      <c r="AG8" t="e">
        <f>AND(#REF!,"AAAAAH9v/yA=")</f>
        <v>#REF!</v>
      </c>
      <c r="AH8" t="e">
        <f>AND(#REF!,"AAAAAH9v/yE=")</f>
        <v>#REF!</v>
      </c>
      <c r="AI8" t="e">
        <f>AND(#REF!,"AAAAAH9v/yI=")</f>
        <v>#REF!</v>
      </c>
      <c r="AJ8" t="e">
        <f>AND(#REF!,"AAAAAH9v/yM=")</f>
        <v>#REF!</v>
      </c>
      <c r="AK8" t="e">
        <f>AND(#REF!,"AAAAAH9v/yQ=")</f>
        <v>#REF!</v>
      </c>
      <c r="AL8" t="e">
        <f>AND(#REF!,"AAAAAH9v/yU=")</f>
        <v>#REF!</v>
      </c>
      <c r="AM8" t="e">
        <f>AND(#REF!,"AAAAAH9v/yY=")</f>
        <v>#REF!</v>
      </c>
      <c r="AN8" t="e">
        <f>IF(#REF!,"AAAAAH9v/yc=",0)</f>
        <v>#REF!</v>
      </c>
      <c r="AO8" t="e">
        <f>AND(#REF!,"AAAAAH9v/yg=")</f>
        <v>#REF!</v>
      </c>
      <c r="AP8" t="e">
        <f>AND(#REF!,"AAAAAH9v/yk=")</f>
        <v>#REF!</v>
      </c>
      <c r="AQ8" t="e">
        <f>AND(#REF!,"AAAAAH9v/yo=")</f>
        <v>#REF!</v>
      </c>
      <c r="AR8" t="e">
        <f>AND(#REF!,"AAAAAH9v/ys=")</f>
        <v>#REF!</v>
      </c>
      <c r="AS8" t="e">
        <f>AND(#REF!,"AAAAAH9v/yw=")</f>
        <v>#REF!</v>
      </c>
      <c r="AT8" t="e">
        <f>AND(#REF!,"AAAAAH9v/y0=")</f>
        <v>#REF!</v>
      </c>
      <c r="AU8" t="e">
        <f>AND(#REF!,"AAAAAH9v/y4=")</f>
        <v>#REF!</v>
      </c>
      <c r="AV8" t="e">
        <f>AND(#REF!,"AAAAAH9v/y8=")</f>
        <v>#REF!</v>
      </c>
      <c r="AW8" t="e">
        <f>AND(#REF!,"AAAAAH9v/zA=")</f>
        <v>#REF!</v>
      </c>
      <c r="AX8" t="e">
        <f>AND(#REF!,"AAAAAH9v/zE=")</f>
        <v>#REF!</v>
      </c>
      <c r="AY8" t="e">
        <f>IF(#REF!,"AAAAAH9v/zI=",0)</f>
        <v>#REF!</v>
      </c>
      <c r="AZ8" t="e">
        <f>AND(#REF!,"AAAAAH9v/zM=")</f>
        <v>#REF!</v>
      </c>
      <c r="BA8" t="e">
        <f>AND(#REF!,"AAAAAH9v/zQ=")</f>
        <v>#REF!</v>
      </c>
      <c r="BB8" t="e">
        <f>AND(#REF!,"AAAAAH9v/zU=")</f>
        <v>#REF!</v>
      </c>
      <c r="BC8" t="e">
        <f>AND(#REF!,"AAAAAH9v/zY=")</f>
        <v>#REF!</v>
      </c>
      <c r="BD8" t="e">
        <f>AND(#REF!,"AAAAAH9v/zc=")</f>
        <v>#REF!</v>
      </c>
      <c r="BE8" t="e">
        <f>AND(#REF!,"AAAAAH9v/zg=")</f>
        <v>#REF!</v>
      </c>
      <c r="BF8" t="e">
        <f>AND(#REF!,"AAAAAH9v/zk=")</f>
        <v>#REF!</v>
      </c>
      <c r="BG8" t="e">
        <f>AND(#REF!,"AAAAAH9v/zo=")</f>
        <v>#REF!</v>
      </c>
      <c r="BH8" t="e">
        <f>AND(#REF!,"AAAAAH9v/zs=")</f>
        <v>#REF!</v>
      </c>
      <c r="BI8" t="e">
        <f>AND(#REF!,"AAAAAH9v/zw=")</f>
        <v>#REF!</v>
      </c>
      <c r="BJ8" t="e">
        <f>IF(#REF!,"AAAAAH9v/z0=",0)</f>
        <v>#REF!</v>
      </c>
      <c r="BK8" t="e">
        <f>AND(#REF!,"AAAAAH9v/z4=")</f>
        <v>#REF!</v>
      </c>
      <c r="BL8" t="e">
        <f>AND(#REF!,"AAAAAH9v/z8=")</f>
        <v>#REF!</v>
      </c>
      <c r="BM8" t="e">
        <f>AND(#REF!,"AAAAAH9v/0A=")</f>
        <v>#REF!</v>
      </c>
      <c r="BN8" t="e">
        <f>AND(#REF!,"AAAAAH9v/0E=")</f>
        <v>#REF!</v>
      </c>
      <c r="BO8" t="e">
        <f>AND(#REF!,"AAAAAH9v/0I=")</f>
        <v>#REF!</v>
      </c>
      <c r="BP8" t="e">
        <f>AND(#REF!,"AAAAAH9v/0M=")</f>
        <v>#REF!</v>
      </c>
      <c r="BQ8" t="e">
        <f>AND(#REF!,"AAAAAH9v/0Q=")</f>
        <v>#REF!</v>
      </c>
      <c r="BR8" t="e">
        <f>AND(#REF!,"AAAAAH9v/0U=")</f>
        <v>#REF!</v>
      </c>
      <c r="BS8" t="e">
        <f>AND(#REF!,"AAAAAH9v/0Y=")</f>
        <v>#REF!</v>
      </c>
      <c r="BT8" t="e">
        <f>AND(#REF!,"AAAAAH9v/0c=")</f>
        <v>#REF!</v>
      </c>
      <c r="BU8" t="e">
        <f>IF(#REF!,"AAAAAH9v/0g=",0)</f>
        <v>#REF!</v>
      </c>
      <c r="BV8" t="e">
        <f>AND(#REF!,"AAAAAH9v/0k=")</f>
        <v>#REF!</v>
      </c>
      <c r="BW8" t="e">
        <f>AND(#REF!,"AAAAAH9v/0o=")</f>
        <v>#REF!</v>
      </c>
      <c r="BX8" t="e">
        <f>AND(#REF!,"AAAAAH9v/0s=")</f>
        <v>#REF!</v>
      </c>
      <c r="BY8" t="e">
        <f>AND(#REF!,"AAAAAH9v/0w=")</f>
        <v>#REF!</v>
      </c>
      <c r="BZ8" t="e">
        <f>AND(#REF!,"AAAAAH9v/00=")</f>
        <v>#REF!</v>
      </c>
      <c r="CA8" t="e">
        <f>AND(#REF!,"AAAAAH9v/04=")</f>
        <v>#REF!</v>
      </c>
      <c r="CB8" t="e">
        <f>AND(#REF!,"AAAAAH9v/08=")</f>
        <v>#REF!</v>
      </c>
      <c r="CC8" t="e">
        <f>AND(#REF!,"AAAAAH9v/1A=")</f>
        <v>#REF!</v>
      </c>
      <c r="CD8" t="e">
        <f>AND(#REF!,"AAAAAH9v/1E=")</f>
        <v>#REF!</v>
      </c>
      <c r="CE8" t="e">
        <f>AND(#REF!,"AAAAAH9v/1I=")</f>
        <v>#REF!</v>
      </c>
      <c r="CF8" t="e">
        <f>IF(#REF!,"AAAAAH9v/1M=",0)</f>
        <v>#REF!</v>
      </c>
      <c r="CG8" t="e">
        <f>AND(#REF!,"AAAAAH9v/1Q=")</f>
        <v>#REF!</v>
      </c>
      <c r="CH8" t="e">
        <f>AND(#REF!,"AAAAAH9v/1U=")</f>
        <v>#REF!</v>
      </c>
      <c r="CI8" t="e">
        <f>AND(#REF!,"AAAAAH9v/1Y=")</f>
        <v>#REF!</v>
      </c>
      <c r="CJ8" t="e">
        <f>AND(#REF!,"AAAAAH9v/1c=")</f>
        <v>#REF!</v>
      </c>
      <c r="CK8" t="e">
        <f>AND(#REF!,"AAAAAH9v/1g=")</f>
        <v>#REF!</v>
      </c>
      <c r="CL8" t="e">
        <f>AND(#REF!,"AAAAAH9v/1k=")</f>
        <v>#REF!</v>
      </c>
      <c r="CM8" t="e">
        <f>AND(#REF!,"AAAAAH9v/1o=")</f>
        <v>#REF!</v>
      </c>
      <c r="CN8" t="e">
        <f>AND(#REF!,"AAAAAH9v/1s=")</f>
        <v>#REF!</v>
      </c>
      <c r="CO8" t="e">
        <f>AND(#REF!,"AAAAAH9v/1w=")</f>
        <v>#REF!</v>
      </c>
      <c r="CP8" t="e">
        <f>AND(#REF!,"AAAAAH9v/10=")</f>
        <v>#REF!</v>
      </c>
      <c r="CQ8" t="e">
        <f>IF(#REF!,"AAAAAH9v/14=",0)</f>
        <v>#REF!</v>
      </c>
      <c r="CR8" t="e">
        <f>AND(#REF!,"AAAAAH9v/18=")</f>
        <v>#REF!</v>
      </c>
      <c r="CS8" t="e">
        <f>IF(#REF!,"AAAAAH9v/2A=",0)</f>
        <v>#REF!</v>
      </c>
      <c r="CT8" t="e">
        <f>AND(#REF!,"AAAAAH9v/2E=")</f>
        <v>#REF!</v>
      </c>
      <c r="CU8" t="e">
        <f>IF(#REF!,"AAAAAH9v/2I=",0)</f>
        <v>#REF!</v>
      </c>
      <c r="CV8" t="e">
        <f>IF(#REF!,"AAAAAH9v/2M=",0)</f>
        <v>#REF!</v>
      </c>
      <c r="CW8" t="e">
        <f>IF(#REF!,"AAAAAH9v/2Q=",0)</f>
        <v>#REF!</v>
      </c>
      <c r="CX8" t="e">
        <f>IF(#REF!,"AAAAAH9v/2U=",0)</f>
        <v>#REF!</v>
      </c>
      <c r="CY8" t="e">
        <f>IF(#REF!,"AAAAAH9v/2Y=",0)</f>
        <v>#REF!</v>
      </c>
      <c r="CZ8" t="e">
        <f>IF(#REF!,"AAAAAH9v/2c=",0)</f>
        <v>#REF!</v>
      </c>
      <c r="DA8" t="e">
        <f>IF(#REF!,"AAAAAH9v/2g=",0)</f>
        <v>#REF!</v>
      </c>
      <c r="DB8" t="e">
        <f>IF(#REF!,"AAAAAH9v/2k=",0)</f>
        <v>#REF!</v>
      </c>
      <c r="DC8" t="e">
        <f>IF(#REF!,"AAAAAH9v/2o=",0)</f>
        <v>#REF!</v>
      </c>
      <c r="DD8" t="e">
        <f>IF(#REF!,"AAAAAH9v/2s=",0)</f>
        <v>#REF!</v>
      </c>
      <c r="DE8" t="e">
        <f>IF(#REF!,"AAAAAH9v/2w=",0)</f>
        <v>#REF!</v>
      </c>
      <c r="DF8" t="e">
        <f>AND(#REF!,"AAAAAH9v/20=")</f>
        <v>#REF!</v>
      </c>
      <c r="DG8" t="e">
        <f>AND(#REF!,"AAAAAH9v/24=")</f>
        <v>#REF!</v>
      </c>
      <c r="DH8" t="e">
        <f>AND(#REF!,"AAAAAH9v/28=")</f>
        <v>#REF!</v>
      </c>
      <c r="DI8" t="e">
        <f>AND(#REF!,"AAAAAH9v/3A=")</f>
        <v>#REF!</v>
      </c>
      <c r="DJ8" t="e">
        <f>AND(#REF!,"AAAAAH9v/3E=")</f>
        <v>#REF!</v>
      </c>
      <c r="DK8" t="e">
        <f>AND(#REF!,"AAAAAH9v/3I=")</f>
        <v>#REF!</v>
      </c>
      <c r="DL8" t="e">
        <f>IF(#REF!,"AAAAAH9v/3M=",0)</f>
        <v>#REF!</v>
      </c>
      <c r="DM8" t="e">
        <f>AND(#REF!,"AAAAAH9v/3Q=")</f>
        <v>#REF!</v>
      </c>
      <c r="DN8" t="e">
        <f>AND(#REF!,"AAAAAH9v/3U=")</f>
        <v>#REF!</v>
      </c>
      <c r="DO8" t="e">
        <f>AND(#REF!,"AAAAAH9v/3Y=")</f>
        <v>#REF!</v>
      </c>
      <c r="DP8" t="e">
        <f>AND(#REF!,"AAAAAH9v/3c=")</f>
        <v>#REF!</v>
      </c>
      <c r="DQ8" t="e">
        <f>AND(#REF!,"AAAAAH9v/3g=")</f>
        <v>#REF!</v>
      </c>
      <c r="DR8" t="e">
        <f>AND(#REF!,"AAAAAH9v/3k=")</f>
        <v>#REF!</v>
      </c>
      <c r="DS8" t="e">
        <f>IF(#REF!,"AAAAAH9v/3o=",0)</f>
        <v>#REF!</v>
      </c>
      <c r="DT8" t="e">
        <f>AND(#REF!,"AAAAAH9v/3s=")</f>
        <v>#REF!</v>
      </c>
      <c r="DU8" t="e">
        <f>AND(#REF!,"AAAAAH9v/3w=")</f>
        <v>#REF!</v>
      </c>
      <c r="DV8" t="e">
        <f>AND(#REF!,"AAAAAH9v/30=")</f>
        <v>#REF!</v>
      </c>
      <c r="DW8" t="e">
        <f>AND(#REF!,"AAAAAH9v/34=")</f>
        <v>#REF!</v>
      </c>
      <c r="DX8" t="e">
        <f>AND(#REF!,"AAAAAH9v/38=")</f>
        <v>#REF!</v>
      </c>
      <c r="DY8" t="e">
        <f>AND(#REF!,"AAAAAH9v/4A=")</f>
        <v>#REF!</v>
      </c>
      <c r="DZ8" t="e">
        <f>IF(#REF!,"AAAAAH9v/4E=",0)</f>
        <v>#REF!</v>
      </c>
      <c r="EA8" t="e">
        <f>AND(#REF!,"AAAAAH9v/4I=")</f>
        <v>#REF!</v>
      </c>
      <c r="EB8" t="e">
        <f>AND(#REF!,"AAAAAH9v/4M=")</f>
        <v>#REF!</v>
      </c>
      <c r="EC8" t="e">
        <f>AND(#REF!,"AAAAAH9v/4Q=")</f>
        <v>#REF!</v>
      </c>
      <c r="ED8" t="e">
        <f>AND(#REF!,"AAAAAH9v/4U=")</f>
        <v>#REF!</v>
      </c>
      <c r="EE8" t="e">
        <f>AND(#REF!,"AAAAAH9v/4Y=")</f>
        <v>#REF!</v>
      </c>
      <c r="EF8" t="e">
        <f>AND(#REF!,"AAAAAH9v/4c=")</f>
        <v>#REF!</v>
      </c>
      <c r="EG8" t="e">
        <f>IF(#REF!,"AAAAAH9v/4g=",0)</f>
        <v>#REF!</v>
      </c>
      <c r="EH8" t="e">
        <f>AND(#REF!,"AAAAAH9v/4k=")</f>
        <v>#REF!</v>
      </c>
      <c r="EI8" t="e">
        <f>AND(#REF!,"AAAAAH9v/4o=")</f>
        <v>#REF!</v>
      </c>
      <c r="EJ8" t="e">
        <f>AND(#REF!,"AAAAAH9v/4s=")</f>
        <v>#REF!</v>
      </c>
      <c r="EK8" t="e">
        <f>AND(#REF!,"AAAAAH9v/4w=")</f>
        <v>#REF!</v>
      </c>
      <c r="EL8" t="e">
        <f>AND(#REF!,"AAAAAH9v/40=")</f>
        <v>#REF!</v>
      </c>
      <c r="EM8" t="e">
        <f>AND(#REF!,"AAAAAH9v/44=")</f>
        <v>#REF!</v>
      </c>
      <c r="EN8" t="e">
        <f>IF(#REF!,"AAAAAH9v/48=",0)</f>
        <v>#REF!</v>
      </c>
      <c r="EO8" t="e">
        <f>AND(#REF!,"AAAAAH9v/5A=")</f>
        <v>#REF!</v>
      </c>
      <c r="EP8" t="e">
        <f>AND(#REF!,"AAAAAH9v/5E=")</f>
        <v>#REF!</v>
      </c>
      <c r="EQ8" t="e">
        <f>AND(#REF!,"AAAAAH9v/5I=")</f>
        <v>#REF!</v>
      </c>
      <c r="ER8" t="e">
        <f>AND(#REF!,"AAAAAH9v/5M=")</f>
        <v>#REF!</v>
      </c>
      <c r="ES8" t="e">
        <f>AND(#REF!,"AAAAAH9v/5Q=")</f>
        <v>#REF!</v>
      </c>
      <c r="ET8" t="e">
        <f>AND(#REF!,"AAAAAH9v/5U=")</f>
        <v>#REF!</v>
      </c>
      <c r="EU8" t="e">
        <f>IF(#REF!,"AAAAAH9v/5Y=",0)</f>
        <v>#REF!</v>
      </c>
      <c r="EV8" t="e">
        <f>AND(#REF!,"AAAAAH9v/5c=")</f>
        <v>#REF!</v>
      </c>
      <c r="EW8" t="e">
        <f>AND(#REF!,"AAAAAH9v/5g=")</f>
        <v>#REF!</v>
      </c>
      <c r="EX8" t="e">
        <f>AND(#REF!,"AAAAAH9v/5k=")</f>
        <v>#REF!</v>
      </c>
      <c r="EY8" t="e">
        <f>AND(#REF!,"AAAAAH9v/5o=")</f>
        <v>#REF!</v>
      </c>
      <c r="EZ8" t="e">
        <f>AND(#REF!,"AAAAAH9v/5s=")</f>
        <v>#REF!</v>
      </c>
      <c r="FA8" t="e">
        <f>AND(#REF!,"AAAAAH9v/5w=")</f>
        <v>#REF!</v>
      </c>
      <c r="FB8" t="e">
        <f>IF(#REF!,"AAAAAH9v/50=",0)</f>
        <v>#REF!</v>
      </c>
      <c r="FC8" t="e">
        <f>AND(#REF!,"AAAAAH9v/54=")</f>
        <v>#REF!</v>
      </c>
      <c r="FD8" t="e">
        <f>AND(#REF!,"AAAAAH9v/58=")</f>
        <v>#REF!</v>
      </c>
      <c r="FE8" t="e">
        <f>AND(#REF!,"AAAAAH9v/6A=")</f>
        <v>#REF!</v>
      </c>
      <c r="FF8" t="e">
        <f>AND(#REF!,"AAAAAH9v/6E=")</f>
        <v>#REF!</v>
      </c>
      <c r="FG8" t="e">
        <f>AND(#REF!,"AAAAAH9v/6I=")</f>
        <v>#REF!</v>
      </c>
      <c r="FH8" t="e">
        <f>AND(#REF!,"AAAAAH9v/6M=")</f>
        <v>#REF!</v>
      </c>
      <c r="FI8" t="e">
        <f>IF(#REF!,"AAAAAH9v/6Q=",0)</f>
        <v>#REF!</v>
      </c>
      <c r="FJ8" t="e">
        <f>AND(#REF!,"AAAAAH9v/6U=")</f>
        <v>#REF!</v>
      </c>
      <c r="FK8" t="e">
        <f>AND(#REF!,"AAAAAH9v/6Y=")</f>
        <v>#REF!</v>
      </c>
      <c r="FL8" t="e">
        <f>AND(#REF!,"AAAAAH9v/6c=")</f>
        <v>#REF!</v>
      </c>
      <c r="FM8" t="e">
        <f>AND(#REF!,"AAAAAH9v/6g=")</f>
        <v>#REF!</v>
      </c>
      <c r="FN8" t="e">
        <f>AND(#REF!,"AAAAAH9v/6k=")</f>
        <v>#REF!</v>
      </c>
      <c r="FO8" t="e">
        <f>AND(#REF!,"AAAAAH9v/6o=")</f>
        <v>#REF!</v>
      </c>
      <c r="FP8" t="e">
        <f>IF(#REF!,"AAAAAH9v/6s=",0)</f>
        <v>#REF!</v>
      </c>
      <c r="FQ8" t="e">
        <f>AND(#REF!,"AAAAAH9v/6w=")</f>
        <v>#REF!</v>
      </c>
      <c r="FR8" t="e">
        <f>AND(#REF!,"AAAAAH9v/60=")</f>
        <v>#REF!</v>
      </c>
      <c r="FS8" t="e">
        <f>AND(#REF!,"AAAAAH9v/64=")</f>
        <v>#REF!</v>
      </c>
      <c r="FT8" t="e">
        <f>AND(#REF!,"AAAAAH9v/68=")</f>
        <v>#REF!</v>
      </c>
      <c r="FU8" t="e">
        <f>AND(#REF!,"AAAAAH9v/7A=")</f>
        <v>#REF!</v>
      </c>
      <c r="FV8" t="e">
        <f>AND(#REF!,"AAAAAH9v/7E=")</f>
        <v>#REF!</v>
      </c>
      <c r="FW8" t="e">
        <f>IF(#REF!,"AAAAAH9v/7I=",0)</f>
        <v>#REF!</v>
      </c>
      <c r="FX8" t="e">
        <f>AND(#REF!,"AAAAAH9v/7M=")</f>
        <v>#REF!</v>
      </c>
      <c r="FY8" t="e">
        <f>AND(#REF!,"AAAAAH9v/7Q=")</f>
        <v>#REF!</v>
      </c>
      <c r="FZ8" t="e">
        <f>AND(#REF!,"AAAAAH9v/7U=")</f>
        <v>#REF!</v>
      </c>
      <c r="GA8" t="e">
        <f>AND(#REF!,"AAAAAH9v/7Y=")</f>
        <v>#REF!</v>
      </c>
      <c r="GB8" t="e">
        <f>AND(#REF!,"AAAAAH9v/7c=")</f>
        <v>#REF!</v>
      </c>
      <c r="GC8" t="e">
        <f>AND(#REF!,"AAAAAH9v/7g=")</f>
        <v>#REF!</v>
      </c>
      <c r="GD8" t="e">
        <f>IF(#REF!,"AAAAAH9v/7k=",0)</f>
        <v>#REF!</v>
      </c>
      <c r="GE8" t="e">
        <f>AND(#REF!,"AAAAAH9v/7o=")</f>
        <v>#REF!</v>
      </c>
      <c r="GF8" t="e">
        <f>AND(#REF!,"AAAAAH9v/7s=")</f>
        <v>#REF!</v>
      </c>
      <c r="GG8" t="e">
        <f>AND(#REF!,"AAAAAH9v/7w=")</f>
        <v>#REF!</v>
      </c>
      <c r="GH8" t="e">
        <f>AND(#REF!,"AAAAAH9v/70=")</f>
        <v>#REF!</v>
      </c>
      <c r="GI8" t="e">
        <f>AND(#REF!,"AAAAAH9v/74=")</f>
        <v>#REF!</v>
      </c>
      <c r="GJ8" t="e">
        <f>AND(#REF!,"AAAAAH9v/78=")</f>
        <v>#REF!</v>
      </c>
      <c r="GK8" t="e">
        <f>IF(#REF!,"AAAAAH9v/8A=",0)</f>
        <v>#REF!</v>
      </c>
      <c r="GL8" t="e">
        <f>AND(#REF!,"AAAAAH9v/8E=")</f>
        <v>#REF!</v>
      </c>
      <c r="GM8" t="e">
        <f>AND(#REF!,"AAAAAH9v/8I=")</f>
        <v>#REF!</v>
      </c>
      <c r="GN8" t="e">
        <f>AND(#REF!,"AAAAAH9v/8M=")</f>
        <v>#REF!</v>
      </c>
      <c r="GO8" t="e">
        <f>AND(#REF!,"AAAAAH9v/8Q=")</f>
        <v>#REF!</v>
      </c>
      <c r="GP8" t="e">
        <f>AND(#REF!,"AAAAAH9v/8U=")</f>
        <v>#REF!</v>
      </c>
      <c r="GQ8" t="e">
        <f>AND(#REF!,"AAAAAH9v/8Y=")</f>
        <v>#REF!</v>
      </c>
      <c r="GR8" t="e">
        <f>IF(#REF!,"AAAAAH9v/8c=",0)</f>
        <v>#REF!</v>
      </c>
      <c r="GS8" t="e">
        <f>AND(#REF!,"AAAAAH9v/8g=")</f>
        <v>#REF!</v>
      </c>
      <c r="GT8" t="e">
        <f>AND(#REF!,"AAAAAH9v/8k=")</f>
        <v>#REF!</v>
      </c>
      <c r="GU8" t="e">
        <f>AND(#REF!,"AAAAAH9v/8o=")</f>
        <v>#REF!</v>
      </c>
      <c r="GV8" t="e">
        <f>AND(#REF!,"AAAAAH9v/8s=")</f>
        <v>#REF!</v>
      </c>
      <c r="GW8" t="e">
        <f>AND(#REF!,"AAAAAH9v/8w=")</f>
        <v>#REF!</v>
      </c>
      <c r="GX8" t="e">
        <f>AND(#REF!,"AAAAAH9v/80=")</f>
        <v>#REF!</v>
      </c>
      <c r="GY8" t="e">
        <f>IF(#REF!,"AAAAAH9v/84=",0)</f>
        <v>#REF!</v>
      </c>
      <c r="GZ8" t="e">
        <f>AND(#REF!,"AAAAAH9v/88=")</f>
        <v>#REF!</v>
      </c>
      <c r="HA8" t="e">
        <f>AND(#REF!,"AAAAAH9v/9A=")</f>
        <v>#REF!</v>
      </c>
      <c r="HB8" t="e">
        <f>AND(#REF!,"AAAAAH9v/9E=")</f>
        <v>#REF!</v>
      </c>
      <c r="HC8" t="e">
        <f>AND(#REF!,"AAAAAH9v/9I=")</f>
        <v>#REF!</v>
      </c>
      <c r="HD8" t="e">
        <f>AND(#REF!,"AAAAAH9v/9M=")</f>
        <v>#REF!</v>
      </c>
      <c r="HE8" t="e">
        <f>AND(#REF!,"AAAAAH9v/9Q=")</f>
        <v>#REF!</v>
      </c>
      <c r="HF8" t="e">
        <f>IF(#REF!,"AAAAAH9v/9U=",0)</f>
        <v>#REF!</v>
      </c>
      <c r="HG8" t="e">
        <f>AND(#REF!,"AAAAAH9v/9Y=")</f>
        <v>#REF!</v>
      </c>
      <c r="HH8" t="e">
        <f>AND(#REF!,"AAAAAH9v/9c=")</f>
        <v>#REF!</v>
      </c>
      <c r="HI8" t="e">
        <f>AND(#REF!,"AAAAAH9v/9g=")</f>
        <v>#REF!</v>
      </c>
      <c r="HJ8" t="e">
        <f>AND(#REF!,"AAAAAH9v/9k=")</f>
        <v>#REF!</v>
      </c>
      <c r="HK8" t="e">
        <f>AND(#REF!,"AAAAAH9v/9o=")</f>
        <v>#REF!</v>
      </c>
      <c r="HL8" t="e">
        <f>AND(#REF!,"AAAAAH9v/9s=")</f>
        <v>#REF!</v>
      </c>
      <c r="HM8" t="e">
        <f>IF(#REF!,"AAAAAH9v/9w=",0)</f>
        <v>#REF!</v>
      </c>
      <c r="HN8" t="e">
        <f>AND(#REF!,"AAAAAH9v/90=")</f>
        <v>#REF!</v>
      </c>
      <c r="HO8" t="e">
        <f>AND(#REF!,"AAAAAH9v/94=")</f>
        <v>#REF!</v>
      </c>
      <c r="HP8" t="e">
        <f>AND(#REF!,"AAAAAH9v/98=")</f>
        <v>#REF!</v>
      </c>
      <c r="HQ8" t="e">
        <f>AND(#REF!,"AAAAAH9v/+A=")</f>
        <v>#REF!</v>
      </c>
      <c r="HR8" t="e">
        <f>AND(#REF!,"AAAAAH9v/+E=")</f>
        <v>#REF!</v>
      </c>
      <c r="HS8" t="e">
        <f>AND(#REF!,"AAAAAH9v/+I=")</f>
        <v>#REF!</v>
      </c>
      <c r="HT8" t="e">
        <f>IF(#REF!,"AAAAAH9v/+M=",0)</f>
        <v>#REF!</v>
      </c>
      <c r="HU8" t="e">
        <f>AND(#REF!,"AAAAAH9v/+Q=")</f>
        <v>#REF!</v>
      </c>
      <c r="HV8" t="e">
        <f>AND(#REF!,"AAAAAH9v/+U=")</f>
        <v>#REF!</v>
      </c>
      <c r="HW8" t="e">
        <f>AND(#REF!,"AAAAAH9v/+Y=")</f>
        <v>#REF!</v>
      </c>
      <c r="HX8" t="e">
        <f>AND(#REF!,"AAAAAH9v/+c=")</f>
        <v>#REF!</v>
      </c>
      <c r="HY8" t="e">
        <f>AND(#REF!,"AAAAAH9v/+g=")</f>
        <v>#REF!</v>
      </c>
      <c r="HZ8" t="e">
        <f>AND(#REF!,"AAAAAH9v/+k=")</f>
        <v>#REF!</v>
      </c>
      <c r="IA8" t="e">
        <f>IF(#REF!,"AAAAAH9v/+o=",0)</f>
        <v>#REF!</v>
      </c>
      <c r="IB8" t="e">
        <f>AND(#REF!,"AAAAAH9v/+s=")</f>
        <v>#REF!</v>
      </c>
      <c r="IC8" t="e">
        <f>AND(#REF!,"AAAAAH9v/+w=")</f>
        <v>#REF!</v>
      </c>
      <c r="ID8" t="e">
        <f>AND(#REF!,"AAAAAH9v/+0=")</f>
        <v>#REF!</v>
      </c>
      <c r="IE8" t="e">
        <f>AND(#REF!,"AAAAAH9v/+4=")</f>
        <v>#REF!</v>
      </c>
      <c r="IF8" t="e">
        <f>AND(#REF!,"AAAAAH9v/+8=")</f>
        <v>#REF!</v>
      </c>
      <c r="IG8" t="e">
        <f>AND(#REF!,"AAAAAH9v//A=")</f>
        <v>#REF!</v>
      </c>
      <c r="IH8" t="e">
        <f>IF(#REF!,"AAAAAH9v//E=",0)</f>
        <v>#REF!</v>
      </c>
      <c r="II8" t="e">
        <f>AND(#REF!,"AAAAAH9v//I=")</f>
        <v>#REF!</v>
      </c>
      <c r="IJ8" t="e">
        <f>AND(#REF!,"AAAAAH9v//M=")</f>
        <v>#REF!</v>
      </c>
      <c r="IK8" t="e">
        <f>AND(#REF!,"AAAAAH9v//Q=")</f>
        <v>#REF!</v>
      </c>
      <c r="IL8" t="e">
        <f>AND(#REF!,"AAAAAH9v//U=")</f>
        <v>#REF!</v>
      </c>
      <c r="IM8" t="e">
        <f>AND(#REF!,"AAAAAH9v//Y=")</f>
        <v>#REF!</v>
      </c>
      <c r="IN8" t="e">
        <f>AND(#REF!,"AAAAAH9v//c=")</f>
        <v>#REF!</v>
      </c>
      <c r="IO8" t="e">
        <f>IF(#REF!,"AAAAAH9v//g=",0)</f>
        <v>#REF!</v>
      </c>
      <c r="IP8" t="e">
        <f>AND(#REF!,"AAAAAH9v//k=")</f>
        <v>#REF!</v>
      </c>
      <c r="IQ8" t="e">
        <f>AND(#REF!,"AAAAAH9v//o=")</f>
        <v>#REF!</v>
      </c>
      <c r="IR8" t="e">
        <f>AND(#REF!,"AAAAAH9v//s=")</f>
        <v>#REF!</v>
      </c>
      <c r="IS8" t="e">
        <f>AND(#REF!,"AAAAAH9v//w=")</f>
        <v>#REF!</v>
      </c>
      <c r="IT8" t="e">
        <f>AND(#REF!,"AAAAAH9v//0=")</f>
        <v>#REF!</v>
      </c>
      <c r="IU8" t="e">
        <f>AND(#REF!,"AAAAAH9v//4=")</f>
        <v>#REF!</v>
      </c>
      <c r="IV8" t="e">
        <f>IF(#REF!,"AAAAAH9v//8=",0)</f>
        <v>#REF!</v>
      </c>
    </row>
    <row r="9" spans="1:256">
      <c r="A9" t="e">
        <f>AND(#REF!,"AAAAAB+d7wA=")</f>
        <v>#REF!</v>
      </c>
      <c r="B9" t="e">
        <f>AND(#REF!,"AAAAAB+d7wE=")</f>
        <v>#REF!</v>
      </c>
      <c r="C9" t="e">
        <f>AND(#REF!,"AAAAAB+d7wI=")</f>
        <v>#REF!</v>
      </c>
      <c r="D9" t="e">
        <f>AND(#REF!,"AAAAAB+d7wM=")</f>
        <v>#REF!</v>
      </c>
      <c r="E9" t="e">
        <f>AND(#REF!,"AAAAAB+d7wQ=")</f>
        <v>#REF!</v>
      </c>
      <c r="F9" t="e">
        <f>AND(#REF!,"AAAAAB+d7wU=")</f>
        <v>#REF!</v>
      </c>
      <c r="G9" t="e">
        <f>IF(#REF!,"AAAAAB+d7wY=",0)</f>
        <v>#REF!</v>
      </c>
      <c r="H9" t="e">
        <f>AND(#REF!,"AAAAAB+d7wc=")</f>
        <v>#REF!</v>
      </c>
      <c r="I9" t="e">
        <f>AND(#REF!,"AAAAAB+d7wg=")</f>
        <v>#REF!</v>
      </c>
      <c r="J9" t="e">
        <f>AND(#REF!,"AAAAAB+d7wk=")</f>
        <v>#REF!</v>
      </c>
      <c r="K9" t="e">
        <f>AND(#REF!,"AAAAAB+d7wo=")</f>
        <v>#REF!</v>
      </c>
      <c r="L9" t="e">
        <f>AND(#REF!,"AAAAAB+d7ws=")</f>
        <v>#REF!</v>
      </c>
      <c r="M9" t="e">
        <f>AND(#REF!,"AAAAAB+d7ww=")</f>
        <v>#REF!</v>
      </c>
      <c r="N9" t="e">
        <f>IF(#REF!,"AAAAAB+d7w0=",0)</f>
        <v>#REF!</v>
      </c>
      <c r="O9" t="e">
        <f>IF(#REF!,"AAAAAB+d7w4=",0)</f>
        <v>#REF!</v>
      </c>
      <c r="P9" t="e">
        <f>IF(#REF!,"AAAAAB+d7w8=",0)</f>
        <v>#REF!</v>
      </c>
      <c r="Q9" t="e">
        <f>IF(#REF!,"AAAAAB+d7xA=",0)</f>
        <v>#REF!</v>
      </c>
      <c r="R9" t="e">
        <f>IF(#REF!,"AAAAAB+d7xE=",0)</f>
        <v>#REF!</v>
      </c>
      <c r="S9" t="e">
        <f>IF(#REF!,"AAAAAB+d7xI=",0)</f>
        <v>#REF!</v>
      </c>
      <c r="T9" t="e">
        <f>IF(#REF!,"AAAAAB+d7xM=",0)</f>
        <v>#REF!</v>
      </c>
      <c r="U9" t="e">
        <f>AND(#REF!,"AAAAAB+d7xQ=")</f>
        <v>#REF!</v>
      </c>
      <c r="V9" t="e">
        <f>AND(#REF!,"AAAAAB+d7xU=")</f>
        <v>#REF!</v>
      </c>
      <c r="W9" t="e">
        <f>AND(#REF!,"AAAAAB+d7xY=")</f>
        <v>#REF!</v>
      </c>
      <c r="X9" t="e">
        <f>AND(#REF!,"AAAAAB+d7xc=")</f>
        <v>#REF!</v>
      </c>
      <c r="Y9" t="e">
        <f>AND(#REF!,"AAAAAB+d7xg=")</f>
        <v>#REF!</v>
      </c>
      <c r="Z9" t="e">
        <f>AND(#REF!,"AAAAAB+d7xk=")</f>
        <v>#REF!</v>
      </c>
      <c r="AA9" t="e">
        <f>IF(#REF!,"AAAAAB+d7xo=",0)</f>
        <v>#REF!</v>
      </c>
      <c r="AB9" t="e">
        <f>AND(#REF!,"AAAAAB+d7xs=")</f>
        <v>#REF!</v>
      </c>
      <c r="AC9" t="e">
        <f>AND(#REF!,"AAAAAB+d7xw=")</f>
        <v>#REF!</v>
      </c>
      <c r="AD9" t="e">
        <f>AND(#REF!,"AAAAAB+d7x0=")</f>
        <v>#REF!</v>
      </c>
      <c r="AE9" t="e">
        <f>AND(#REF!,"AAAAAB+d7x4=")</f>
        <v>#REF!</v>
      </c>
      <c r="AF9" t="e">
        <f>AND(#REF!,"AAAAAB+d7x8=")</f>
        <v>#REF!</v>
      </c>
      <c r="AG9" t="e">
        <f>AND(#REF!,"AAAAAB+d7yA=")</f>
        <v>#REF!</v>
      </c>
      <c r="AH9" t="e">
        <f>IF(#REF!,"AAAAAB+d7yE=",0)</f>
        <v>#REF!</v>
      </c>
      <c r="AI9" t="e">
        <f>AND(#REF!,"AAAAAB+d7yI=")</f>
        <v>#REF!</v>
      </c>
      <c r="AJ9" t="e">
        <f>AND(#REF!,"AAAAAB+d7yM=")</f>
        <v>#REF!</v>
      </c>
      <c r="AK9" t="e">
        <f>AND(#REF!,"AAAAAB+d7yQ=")</f>
        <v>#REF!</v>
      </c>
      <c r="AL9" t="e">
        <f>AND(#REF!,"AAAAAB+d7yU=")</f>
        <v>#REF!</v>
      </c>
      <c r="AM9" t="e">
        <f>AND(#REF!,"AAAAAB+d7yY=")</f>
        <v>#REF!</v>
      </c>
      <c r="AN9" t="e">
        <f>AND(#REF!,"AAAAAB+d7yc=")</f>
        <v>#REF!</v>
      </c>
      <c r="AO9" t="e">
        <f>IF(#REF!,"AAAAAB+d7yg=",0)</f>
        <v>#REF!</v>
      </c>
      <c r="AP9" t="e">
        <f>AND(#REF!,"AAAAAB+d7yk=")</f>
        <v>#REF!</v>
      </c>
      <c r="AQ9" t="e">
        <f>AND(#REF!,"AAAAAB+d7yo=")</f>
        <v>#REF!</v>
      </c>
      <c r="AR9" t="e">
        <f>AND(#REF!,"AAAAAB+d7ys=")</f>
        <v>#REF!</v>
      </c>
      <c r="AS9" t="e">
        <f>AND(#REF!,"AAAAAB+d7yw=")</f>
        <v>#REF!</v>
      </c>
      <c r="AT9" t="e">
        <f>AND(#REF!,"AAAAAB+d7y0=")</f>
        <v>#REF!</v>
      </c>
      <c r="AU9" t="e">
        <f>AND(#REF!,"AAAAAB+d7y4=")</f>
        <v>#REF!</v>
      </c>
      <c r="AV9" t="e">
        <f>IF(#REF!,"AAAAAB+d7y8=",0)</f>
        <v>#REF!</v>
      </c>
      <c r="AW9" t="e">
        <f>AND(#REF!,"AAAAAB+d7zA=")</f>
        <v>#REF!</v>
      </c>
      <c r="AX9" t="e">
        <f>IF(#REF!,"AAAAAB+d7zE=",0)</f>
        <v>#REF!</v>
      </c>
      <c r="AY9" t="e">
        <f>AND(#REF!,"AAAAAB+d7zI=")</f>
        <v>#REF!</v>
      </c>
      <c r="AZ9" t="e">
        <f>IF(#REF!,"AAAAAB+d7zM=",0)</f>
        <v>#REF!</v>
      </c>
      <c r="BA9" t="e">
        <f>AND(#REF!,"AAAAAB+d7zQ=")</f>
        <v>#REF!</v>
      </c>
      <c r="BB9" t="e">
        <f>IF(#REF!,"AAAAAB+d7zU=",0)</f>
        <v>#REF!</v>
      </c>
      <c r="BC9" t="e">
        <f>AND(#REF!,"AAAAAB+d7zY=")</f>
        <v>#REF!</v>
      </c>
      <c r="BD9" t="e">
        <f>IF(#REF!,"AAAAAB+d7zc=",0)</f>
        <v>#REF!</v>
      </c>
      <c r="BE9" t="e">
        <f>AND(#REF!,"AAAAAB+d7zg=")</f>
        <v>#REF!</v>
      </c>
      <c r="BF9" t="e">
        <f>IF(#REF!,"AAAAAB+d7zk=",0)</f>
        <v>#REF!</v>
      </c>
      <c r="BG9" t="e">
        <f>IF(#REF!,"AAAAAB+d7zo=",0)</f>
        <v>#REF!</v>
      </c>
      <c r="BH9" t="e">
        <f>IF(#REF!,"AAAAAB+d7zs=",0)</f>
        <v>#REF!</v>
      </c>
      <c r="BI9" t="e">
        <f>IF(#REF!,"AAAAAB+d7zw=",0)</f>
        <v>#REF!</v>
      </c>
      <c r="BJ9" t="e">
        <f>IF(#REF!,"AAAAAB+d7z0=",0)</f>
        <v>#REF!</v>
      </c>
      <c r="BK9" t="e">
        <f>IF(#REF!,"AAAAAB+d7z4=",0)</f>
        <v>#REF!</v>
      </c>
      <c r="BL9" t="e">
        <f>IF(#REF!,"AAAAAB+d7z8=",0)</f>
        <v>#REF!</v>
      </c>
      <c r="BM9" t="e">
        <f>AND(#REF!,"AAAAAB+d70A=")</f>
        <v>#REF!</v>
      </c>
      <c r="BN9" t="e">
        <f>AND(#REF!,"AAAAAB+d70E=")</f>
        <v>#REF!</v>
      </c>
      <c r="BO9" t="e">
        <f>AND(#REF!,"AAAAAB+d70I=")</f>
        <v>#REF!</v>
      </c>
      <c r="BP9" t="e">
        <f>AND(#REF!,"AAAAAB+d70M=")</f>
        <v>#REF!</v>
      </c>
      <c r="BQ9" t="e">
        <f>AND(#REF!,"AAAAAB+d70Q=")</f>
        <v>#REF!</v>
      </c>
      <c r="BR9" t="e">
        <f>IF(#REF!,"AAAAAB+d70U=",0)</f>
        <v>#REF!</v>
      </c>
      <c r="BS9" t="e">
        <f>AND(#REF!,"AAAAAB+d70Y=")</f>
        <v>#REF!</v>
      </c>
      <c r="BT9" t="e">
        <f>AND(#REF!,"AAAAAB+d70c=")</f>
        <v>#REF!</v>
      </c>
      <c r="BU9" t="e">
        <f>AND(#REF!,"AAAAAB+d70g=")</f>
        <v>#REF!</v>
      </c>
      <c r="BV9" t="e">
        <f>AND(#REF!,"AAAAAB+d70k=")</f>
        <v>#REF!</v>
      </c>
      <c r="BW9" t="e">
        <f>AND(#REF!,"AAAAAB+d70o=")</f>
        <v>#REF!</v>
      </c>
      <c r="BX9" t="e">
        <f>IF(#REF!,"AAAAAB+d70s=",0)</f>
        <v>#REF!</v>
      </c>
      <c r="BY9" t="e">
        <f>AND(#REF!,"AAAAAB+d70w=")</f>
        <v>#REF!</v>
      </c>
      <c r="BZ9" t="e">
        <f>AND(#REF!,"AAAAAB+d700=")</f>
        <v>#REF!</v>
      </c>
      <c r="CA9" t="e">
        <f>AND(#REF!,"AAAAAB+d704=")</f>
        <v>#REF!</v>
      </c>
      <c r="CB9" t="e">
        <f>AND(#REF!,"AAAAAB+d708=")</f>
        <v>#REF!</v>
      </c>
      <c r="CC9" t="e">
        <f>AND(#REF!,"AAAAAB+d71A=")</f>
        <v>#REF!</v>
      </c>
      <c r="CD9" t="e">
        <f>IF(#REF!,"AAAAAB+d71E=",0)</f>
        <v>#REF!</v>
      </c>
      <c r="CE9" t="e">
        <f>AND(#REF!,"AAAAAB+d71I=")</f>
        <v>#REF!</v>
      </c>
      <c r="CF9" t="e">
        <f>AND(#REF!,"AAAAAB+d71M=")</f>
        <v>#REF!</v>
      </c>
      <c r="CG9" t="e">
        <f>AND(#REF!,"AAAAAB+d71Q=")</f>
        <v>#REF!</v>
      </c>
      <c r="CH9" t="e">
        <f>AND(#REF!,"AAAAAB+d71U=")</f>
        <v>#REF!</v>
      </c>
      <c r="CI9" t="e">
        <f>AND(#REF!,"AAAAAB+d71Y=")</f>
        <v>#REF!</v>
      </c>
      <c r="CJ9" t="e">
        <f>IF(#REF!,"AAAAAB+d71c=",0)</f>
        <v>#REF!</v>
      </c>
      <c r="CK9" t="e">
        <f>AND(#REF!,"AAAAAB+d71g=")</f>
        <v>#REF!</v>
      </c>
      <c r="CL9" t="e">
        <f>IF(#REF!,"AAAAAB+d71k=",0)</f>
        <v>#REF!</v>
      </c>
      <c r="CM9" t="e">
        <f>AND(#REF!,"AAAAAB+d71o=")</f>
        <v>#REF!</v>
      </c>
      <c r="CN9" t="e">
        <f>IF(#REF!,"AAAAAB+d71s=",0)</f>
        <v>#REF!</v>
      </c>
      <c r="CO9" t="e">
        <f>AND(#REF!,"AAAAAB+d71w=")</f>
        <v>#REF!</v>
      </c>
      <c r="CP9" t="e">
        <f>IF(#REF!,"AAAAAB+d710=",0)</f>
        <v>#REF!</v>
      </c>
      <c r="CQ9" t="e">
        <f>AND(#REF!,"AAAAAB+d714=")</f>
        <v>#REF!</v>
      </c>
      <c r="CR9" t="e">
        <f>IF(#REF!,"AAAAAB+d718=",0)</f>
        <v>#REF!</v>
      </c>
      <c r="CS9" t="e">
        <f>IF(#REF!,"AAAAAB+d72A=",0)</f>
        <v>#REF!</v>
      </c>
      <c r="CT9" t="e">
        <f>IF(#REF!,"AAAAAB+d72E=",0)</f>
        <v>#REF!</v>
      </c>
      <c r="CU9" t="e">
        <f>IF(#REF!,"AAAAAB+d72I=",0)</f>
        <v>#REF!</v>
      </c>
      <c r="CV9" t="e">
        <f>IF(#REF!,"AAAAAB+d72M=",0)</f>
        <v>#REF!</v>
      </c>
      <c r="CW9" t="e">
        <f>IF(#REF!,"AAAAAB+d72Q=",0)</f>
        <v>#REF!</v>
      </c>
      <c r="CX9" t="e">
        <f>AND(#REF!,"AAAAAB+d72U=")</f>
        <v>#REF!</v>
      </c>
      <c r="CY9" t="e">
        <f>AND(#REF!,"AAAAAB+d72Y=")</f>
        <v>#REF!</v>
      </c>
      <c r="CZ9" t="e">
        <f>AND(#REF!,"AAAAAB+d72c=")</f>
        <v>#REF!</v>
      </c>
      <c r="DA9" t="e">
        <f>AND(#REF!,"AAAAAB+d72g=")</f>
        <v>#REF!</v>
      </c>
      <c r="DB9" t="e">
        <f>IF(#REF!,"AAAAAB+d72k=",0)</f>
        <v>#REF!</v>
      </c>
      <c r="DC9" t="e">
        <f>AND(#REF!,"AAAAAB+d72o=")</f>
        <v>#REF!</v>
      </c>
      <c r="DD9" t="e">
        <f>AND(#REF!,"AAAAAB+d72s=")</f>
        <v>#REF!</v>
      </c>
      <c r="DE9" t="e">
        <f>AND(#REF!,"AAAAAB+d72w=")</f>
        <v>#REF!</v>
      </c>
      <c r="DF9" t="e">
        <f>AND(#REF!,"AAAAAB+d720=")</f>
        <v>#REF!</v>
      </c>
      <c r="DG9" t="e">
        <f>IF(#REF!,"AAAAAB+d724=",0)</f>
        <v>#REF!</v>
      </c>
      <c r="DH9" t="e">
        <f>AND(#REF!,"AAAAAB+d728=")</f>
        <v>#REF!</v>
      </c>
      <c r="DI9" t="e">
        <f>AND(#REF!,"AAAAAB+d73A=")</f>
        <v>#REF!</v>
      </c>
      <c r="DJ9" t="e">
        <f>AND(#REF!,"AAAAAB+d73E=")</f>
        <v>#REF!</v>
      </c>
      <c r="DK9" t="e">
        <f>AND(#REF!,"AAAAAB+d73I=")</f>
        <v>#REF!</v>
      </c>
      <c r="DL9" t="e">
        <f>IF(#REF!,"AAAAAB+d73M=",0)</f>
        <v>#REF!</v>
      </c>
      <c r="DM9" t="e">
        <f>AND(#REF!,"AAAAAB+d73Q=")</f>
        <v>#REF!</v>
      </c>
      <c r="DN9" t="e">
        <f>AND(#REF!,"AAAAAB+d73U=")</f>
        <v>#REF!</v>
      </c>
      <c r="DO9" t="e">
        <f>AND(#REF!,"AAAAAB+d73Y=")</f>
        <v>#REF!</v>
      </c>
      <c r="DP9" t="e">
        <f>AND(#REF!,"AAAAAB+d73c=")</f>
        <v>#REF!</v>
      </c>
      <c r="DQ9" t="e">
        <f>IF(#REF!,"AAAAAB+d73g=",0)</f>
        <v>#REF!</v>
      </c>
      <c r="DR9" t="e">
        <f>AND(#REF!,"AAAAAB+d73k=")</f>
        <v>#REF!</v>
      </c>
      <c r="DS9" t="e">
        <f>AND(#REF!,"AAAAAB+d73o=")</f>
        <v>#REF!</v>
      </c>
      <c r="DT9" t="e">
        <f>AND(#REF!,"AAAAAB+d73s=")</f>
        <v>#REF!</v>
      </c>
      <c r="DU9" t="e">
        <f>AND(#REF!,"AAAAAB+d73w=")</f>
        <v>#REF!</v>
      </c>
      <c r="DV9" t="e">
        <f>IF(#REF!,"AAAAAB+d730=",0)</f>
        <v>#REF!</v>
      </c>
      <c r="DW9" t="e">
        <f>AND(#REF!,"AAAAAB+d734=")</f>
        <v>#REF!</v>
      </c>
      <c r="DX9" t="e">
        <f>AND(#REF!,"AAAAAB+d738=")</f>
        <v>#REF!</v>
      </c>
      <c r="DY9" t="e">
        <f>AND(#REF!,"AAAAAB+d74A=")</f>
        <v>#REF!</v>
      </c>
      <c r="DZ9" t="e">
        <f>AND(#REF!,"AAAAAB+d74E=")</f>
        <v>#REF!</v>
      </c>
      <c r="EA9" t="e">
        <f>IF(#REF!,"AAAAAB+d74I=",0)</f>
        <v>#REF!</v>
      </c>
      <c r="EB9" t="e">
        <f>AND(#REF!,"AAAAAB+d74M=")</f>
        <v>#REF!</v>
      </c>
      <c r="EC9" t="e">
        <f>AND(#REF!,"AAAAAB+d74Q=")</f>
        <v>#REF!</v>
      </c>
      <c r="ED9" t="e">
        <f>AND(#REF!,"AAAAAB+d74U=")</f>
        <v>#REF!</v>
      </c>
      <c r="EE9" t="e">
        <f>AND(#REF!,"AAAAAB+d74Y=")</f>
        <v>#REF!</v>
      </c>
      <c r="EF9" t="e">
        <f>IF(#REF!,"AAAAAB+d74c=",0)</f>
        <v>#REF!</v>
      </c>
      <c r="EG9" t="e">
        <f>AND(#REF!,"AAAAAB+d74g=")</f>
        <v>#REF!</v>
      </c>
      <c r="EH9" t="e">
        <f>AND(#REF!,"AAAAAB+d74k=")</f>
        <v>#REF!</v>
      </c>
      <c r="EI9" t="e">
        <f>AND(#REF!,"AAAAAB+d74o=")</f>
        <v>#REF!</v>
      </c>
      <c r="EJ9" t="e">
        <f>AND(#REF!,"AAAAAB+d74s=")</f>
        <v>#REF!</v>
      </c>
      <c r="EK9" t="e">
        <f>IF(#REF!,"AAAAAB+d74w=",0)</f>
        <v>#REF!</v>
      </c>
      <c r="EL9" t="e">
        <f>AND(#REF!,"AAAAAB+d740=")</f>
        <v>#REF!</v>
      </c>
      <c r="EM9" t="e">
        <f>IF(#REF!,"AAAAAB+d744=",0)</f>
        <v>#REF!</v>
      </c>
      <c r="EN9" t="e">
        <f>AND(#REF!,"AAAAAB+d748=")</f>
        <v>#REF!</v>
      </c>
      <c r="EO9" t="e">
        <f>IF(#REF!,"AAAAAB+d75A=",0)</f>
        <v>#REF!</v>
      </c>
      <c r="EP9" t="e">
        <f>AND(#REF!,"AAAAAB+d75E=")</f>
        <v>#REF!</v>
      </c>
      <c r="EQ9" t="e">
        <f>IF(#REF!,"AAAAAB+d75I=",0)</f>
        <v>#REF!</v>
      </c>
      <c r="ER9" t="e">
        <f>AND(#REF!,"AAAAAB+d75M=")</f>
        <v>#REF!</v>
      </c>
      <c r="ES9" t="e">
        <f>IF(#REF!,"AAAAAB+d75Q=",0)</f>
        <v>#REF!</v>
      </c>
      <c r="ET9" t="e">
        <f>IF(#REF!,"AAAAAB+d75U=",0)</f>
        <v>#REF!</v>
      </c>
      <c r="EU9" t="e">
        <f>IF(#REF!,"AAAAAB+d75Y=",0)</f>
        <v>#REF!</v>
      </c>
      <c r="EV9" t="e">
        <f>IF(#REF!,"AAAAAB+d75c=",0)</f>
        <v>#REF!</v>
      </c>
      <c r="EW9" t="e">
        <f>IF(#REF!,"AAAAAB+d75g=",0)</f>
        <v>#REF!</v>
      </c>
      <c r="EX9" t="e">
        <f>AND(#REF!,"AAAAAB+d75k=")</f>
        <v>#REF!</v>
      </c>
      <c r="EY9" t="e">
        <f>AND(#REF!,"AAAAAB+d75o=")</f>
        <v>#REF!</v>
      </c>
      <c r="EZ9" t="e">
        <f>AND(#REF!,"AAAAAB+d75s=")</f>
        <v>#REF!</v>
      </c>
      <c r="FA9" t="e">
        <f>AND(#REF!,"AAAAAB+d75w=")</f>
        <v>#REF!</v>
      </c>
      <c r="FB9" t="e">
        <f>AND(#REF!,"AAAAAB+d750=")</f>
        <v>#REF!</v>
      </c>
      <c r="FC9" t="e">
        <f>IF(#REF!,"AAAAAB+d754=",0)</f>
        <v>#REF!</v>
      </c>
      <c r="FD9" t="e">
        <f>AND(#REF!,"AAAAAB+d758=")</f>
        <v>#REF!</v>
      </c>
      <c r="FE9" t="e">
        <f>AND(#REF!,"AAAAAB+d76A=")</f>
        <v>#REF!</v>
      </c>
      <c r="FF9" t="e">
        <f>AND(#REF!,"AAAAAB+d76E=")</f>
        <v>#REF!</v>
      </c>
      <c r="FG9" t="e">
        <f>AND(#REF!,"AAAAAB+d76I=")</f>
        <v>#REF!</v>
      </c>
      <c r="FH9" t="e">
        <f>AND(#REF!,"AAAAAB+d76M=")</f>
        <v>#REF!</v>
      </c>
      <c r="FI9" t="e">
        <f>IF(#REF!,"AAAAAB+d76Q=",0)</f>
        <v>#REF!</v>
      </c>
      <c r="FJ9" t="e">
        <f>AND(#REF!,"AAAAAB+d76U=")</f>
        <v>#REF!</v>
      </c>
      <c r="FK9" t="e">
        <f>AND(#REF!,"AAAAAB+d76Y=")</f>
        <v>#REF!</v>
      </c>
      <c r="FL9" t="e">
        <f>AND(#REF!,"AAAAAB+d76c=")</f>
        <v>#REF!</v>
      </c>
      <c r="FM9" t="e">
        <f>AND(#REF!,"AAAAAB+d76g=")</f>
        <v>#REF!</v>
      </c>
      <c r="FN9" t="e">
        <f>AND(#REF!,"AAAAAB+d76k=")</f>
        <v>#REF!</v>
      </c>
      <c r="FO9" t="e">
        <f>IF(#REF!,"AAAAAB+d76o=",0)</f>
        <v>#REF!</v>
      </c>
      <c r="FP9" t="e">
        <f>AND(#REF!,"AAAAAB+d76s=")</f>
        <v>#REF!</v>
      </c>
      <c r="FQ9" t="e">
        <f>AND(#REF!,"AAAAAB+d76w=")</f>
        <v>#REF!</v>
      </c>
      <c r="FR9" t="e">
        <f>AND(#REF!,"AAAAAB+d760=")</f>
        <v>#REF!</v>
      </c>
      <c r="FS9" t="e">
        <f>AND(#REF!,"AAAAAB+d764=")</f>
        <v>#REF!</v>
      </c>
      <c r="FT9" t="e">
        <f>AND(#REF!,"AAAAAB+d768=")</f>
        <v>#REF!</v>
      </c>
      <c r="FU9" t="e">
        <f>IF(#REF!,"AAAAAB+d77A=",0)</f>
        <v>#REF!</v>
      </c>
      <c r="FV9" t="e">
        <f>AND(#REF!,"AAAAAB+d77E=")</f>
        <v>#REF!</v>
      </c>
      <c r="FW9" t="e">
        <f>AND(#REF!,"AAAAAB+d77I=")</f>
        <v>#REF!</v>
      </c>
      <c r="FX9" t="e">
        <f>AND(#REF!,"AAAAAB+d77M=")</f>
        <v>#REF!</v>
      </c>
      <c r="FY9" t="e">
        <f>AND(#REF!,"AAAAAB+d77Q=")</f>
        <v>#REF!</v>
      </c>
      <c r="FZ9" t="e">
        <f>AND(#REF!,"AAAAAB+d77U=")</f>
        <v>#REF!</v>
      </c>
      <c r="GA9" t="e">
        <f>IF(#REF!,"AAAAAB+d77Y=",0)</f>
        <v>#REF!</v>
      </c>
      <c r="GB9" t="e">
        <f>AND(#REF!,"AAAAAB+d77c=")</f>
        <v>#REF!</v>
      </c>
      <c r="GC9" t="e">
        <f>AND(#REF!,"AAAAAB+d77g=")</f>
        <v>#REF!</v>
      </c>
      <c r="GD9" t="e">
        <f>AND(#REF!,"AAAAAB+d77k=")</f>
        <v>#REF!</v>
      </c>
      <c r="GE9" t="e">
        <f>AND(#REF!,"AAAAAB+d77o=")</f>
        <v>#REF!</v>
      </c>
      <c r="GF9" t="e">
        <f>AND(#REF!,"AAAAAB+d77s=")</f>
        <v>#REF!</v>
      </c>
      <c r="GG9" t="e">
        <f>IF(#REF!,"AAAAAB+d77w=",0)</f>
        <v>#REF!</v>
      </c>
      <c r="GH9" t="e">
        <f>AND(#REF!,"AAAAAB+d770=")</f>
        <v>#REF!</v>
      </c>
      <c r="GI9" t="e">
        <f>AND(#REF!,"AAAAAB+d774=")</f>
        <v>#REF!</v>
      </c>
      <c r="GJ9" t="e">
        <f>AND(#REF!,"AAAAAB+d778=")</f>
        <v>#REF!</v>
      </c>
      <c r="GK9" t="e">
        <f>AND(#REF!,"AAAAAB+d78A=")</f>
        <v>#REF!</v>
      </c>
      <c r="GL9" t="e">
        <f>AND(#REF!,"AAAAAB+d78E=")</f>
        <v>#REF!</v>
      </c>
      <c r="GM9" t="e">
        <f>IF(#REF!,"AAAAAB+d78I=",0)</f>
        <v>#REF!</v>
      </c>
      <c r="GN9" t="e">
        <f>AND(#REF!,"AAAAAB+d78M=")</f>
        <v>#REF!</v>
      </c>
      <c r="GO9" t="e">
        <f>AND(#REF!,"AAAAAB+d78Q=")</f>
        <v>#REF!</v>
      </c>
      <c r="GP9" t="e">
        <f>AND(#REF!,"AAAAAB+d78U=")</f>
        <v>#REF!</v>
      </c>
      <c r="GQ9" t="e">
        <f>AND(#REF!,"AAAAAB+d78Y=")</f>
        <v>#REF!</v>
      </c>
      <c r="GR9" t="e">
        <f>AND(#REF!,"AAAAAB+d78c=")</f>
        <v>#REF!</v>
      </c>
      <c r="GS9" t="e">
        <f>IF(#REF!,"AAAAAB+d78g=",0)</f>
        <v>#REF!</v>
      </c>
      <c r="GT9" t="e">
        <f>AND(#REF!,"AAAAAB+d78k=")</f>
        <v>#REF!</v>
      </c>
      <c r="GU9" t="e">
        <f>AND(#REF!,"AAAAAB+d78o=")</f>
        <v>#REF!</v>
      </c>
      <c r="GV9" t="e">
        <f>AND(#REF!,"AAAAAB+d78s=")</f>
        <v>#REF!</v>
      </c>
      <c r="GW9" t="e">
        <f>AND(#REF!,"AAAAAB+d78w=")</f>
        <v>#REF!</v>
      </c>
      <c r="GX9" t="e">
        <f>AND(#REF!,"AAAAAB+d780=")</f>
        <v>#REF!</v>
      </c>
      <c r="GY9" t="e">
        <f>IF(#REF!,"AAAAAB+d784=",0)</f>
        <v>#REF!</v>
      </c>
      <c r="GZ9" t="e">
        <f>AND(#REF!,"AAAAAB+d788=")</f>
        <v>#REF!</v>
      </c>
      <c r="HA9" t="e">
        <f>AND(#REF!,"AAAAAB+d79A=")</f>
        <v>#REF!</v>
      </c>
      <c r="HB9" t="e">
        <f>AND(#REF!,"AAAAAB+d79E=")</f>
        <v>#REF!</v>
      </c>
      <c r="HC9" t="e">
        <f>AND(#REF!,"AAAAAB+d79I=")</f>
        <v>#REF!</v>
      </c>
      <c r="HD9" t="e">
        <f>AND(#REF!,"AAAAAB+d79M=")</f>
        <v>#REF!</v>
      </c>
      <c r="HE9" t="e">
        <f>IF(#REF!,"AAAAAB+d79Q=",0)</f>
        <v>#REF!</v>
      </c>
      <c r="HF9" t="e">
        <f>AND(#REF!,"AAAAAB+d79U=")</f>
        <v>#REF!</v>
      </c>
      <c r="HG9" t="e">
        <f>AND(#REF!,"AAAAAB+d79Y=")</f>
        <v>#REF!</v>
      </c>
      <c r="HH9" t="e">
        <f>AND(#REF!,"AAAAAB+d79c=")</f>
        <v>#REF!</v>
      </c>
      <c r="HI9" t="e">
        <f>AND(#REF!,"AAAAAB+d79g=")</f>
        <v>#REF!</v>
      </c>
      <c r="HJ9" t="e">
        <f>AND(#REF!,"AAAAAB+d79k=")</f>
        <v>#REF!</v>
      </c>
      <c r="HK9" t="e">
        <f>IF(#REF!,"AAAAAB+d79o=",0)</f>
        <v>#REF!</v>
      </c>
      <c r="HL9" t="e">
        <f>AND(#REF!,"AAAAAB+d79s=")</f>
        <v>#REF!</v>
      </c>
      <c r="HM9" t="e">
        <f>AND(#REF!,"AAAAAB+d79w=")</f>
        <v>#REF!</v>
      </c>
      <c r="HN9" t="e">
        <f>AND(#REF!,"AAAAAB+d790=")</f>
        <v>#REF!</v>
      </c>
      <c r="HO9" t="e">
        <f>AND(#REF!,"AAAAAB+d794=")</f>
        <v>#REF!</v>
      </c>
      <c r="HP9" t="e">
        <f>AND(#REF!,"AAAAAB+d798=")</f>
        <v>#REF!</v>
      </c>
      <c r="HQ9" t="e">
        <f>IF(#REF!,"AAAAAB+d7+A=",0)</f>
        <v>#REF!</v>
      </c>
      <c r="HR9" t="e">
        <f>AND(#REF!,"AAAAAB+d7+E=")</f>
        <v>#REF!</v>
      </c>
      <c r="HS9" t="e">
        <f>AND(#REF!,"AAAAAB+d7+I=")</f>
        <v>#REF!</v>
      </c>
      <c r="HT9" t="e">
        <f>AND(#REF!,"AAAAAB+d7+M=")</f>
        <v>#REF!</v>
      </c>
      <c r="HU9" t="e">
        <f>AND(#REF!,"AAAAAB+d7+Q=")</f>
        <v>#REF!</v>
      </c>
      <c r="HV9" t="e">
        <f>AND(#REF!,"AAAAAB+d7+U=")</f>
        <v>#REF!</v>
      </c>
      <c r="HW9" t="e">
        <f>IF(#REF!,"AAAAAB+d7+Y=",0)</f>
        <v>#REF!</v>
      </c>
      <c r="HX9" t="e">
        <f>AND(#REF!,"AAAAAB+d7+c=")</f>
        <v>#REF!</v>
      </c>
      <c r="HY9" t="e">
        <f>AND(#REF!,"AAAAAB+d7+g=")</f>
        <v>#REF!</v>
      </c>
      <c r="HZ9" t="e">
        <f>AND(#REF!,"AAAAAB+d7+k=")</f>
        <v>#REF!</v>
      </c>
      <c r="IA9" t="e">
        <f>AND(#REF!,"AAAAAB+d7+o=")</f>
        <v>#REF!</v>
      </c>
      <c r="IB9" t="e">
        <f>AND(#REF!,"AAAAAB+d7+s=")</f>
        <v>#REF!</v>
      </c>
      <c r="IC9" t="e">
        <f>IF(#REF!,"AAAAAB+d7+w=",0)</f>
        <v>#REF!</v>
      </c>
      <c r="ID9" t="e">
        <f>AND(#REF!,"AAAAAB+d7+0=")</f>
        <v>#REF!</v>
      </c>
      <c r="IE9" t="e">
        <f>AND(#REF!,"AAAAAB+d7+4=")</f>
        <v>#REF!</v>
      </c>
      <c r="IF9" t="e">
        <f>AND(#REF!,"AAAAAB+d7+8=")</f>
        <v>#REF!</v>
      </c>
      <c r="IG9" t="e">
        <f>AND(#REF!,"AAAAAB+d7/A=")</f>
        <v>#REF!</v>
      </c>
      <c r="IH9" t="e">
        <f>AND(#REF!,"AAAAAB+d7/E=")</f>
        <v>#REF!</v>
      </c>
      <c r="II9" t="e">
        <f>IF(#REF!,"AAAAAB+d7/I=",0)</f>
        <v>#REF!</v>
      </c>
      <c r="IJ9" t="e">
        <f>AND(#REF!,"AAAAAB+d7/M=")</f>
        <v>#REF!</v>
      </c>
      <c r="IK9" t="e">
        <f>IF(#REF!,"AAAAAB+d7/Q=",0)</f>
        <v>#REF!</v>
      </c>
      <c r="IL9" t="e">
        <f>AND(#REF!,"AAAAAB+d7/U=")</f>
        <v>#REF!</v>
      </c>
      <c r="IM9" t="e">
        <f>IF(#REF!,"AAAAAB+d7/Y=",0)</f>
        <v>#REF!</v>
      </c>
      <c r="IN9" t="e">
        <f>AND(#REF!,"AAAAAB+d7/c=")</f>
        <v>#REF!</v>
      </c>
      <c r="IO9" t="e">
        <f>IF(#REF!,"AAAAAB+d7/g=",0)</f>
        <v>#REF!</v>
      </c>
      <c r="IP9" t="e">
        <f>AND(#REF!,"AAAAAB+d7/k=")</f>
        <v>#REF!</v>
      </c>
      <c r="IQ9" t="e">
        <f>IF(#REF!,"AAAAAB+d7/o=",0)</f>
        <v>#REF!</v>
      </c>
      <c r="IR9" t="e">
        <f>AND(#REF!,"AAAAAB+d7/s=")</f>
        <v>#REF!</v>
      </c>
      <c r="IS9" t="e">
        <f>IF(#REF!,"AAAAAB+d7/w=",0)</f>
        <v>#REF!</v>
      </c>
      <c r="IT9" t="e">
        <f>AND(#REF!,"AAAAAB+d7/0=")</f>
        <v>#REF!</v>
      </c>
      <c r="IU9" t="e">
        <f>IF(#REF!,"AAAAAB+d7/4=",0)</f>
        <v>#REF!</v>
      </c>
      <c r="IV9" t="e">
        <f>IF(#REF!,"AAAAAB+d7/8=",0)</f>
        <v>#REF!</v>
      </c>
    </row>
    <row r="10" spans="1:256">
      <c r="A10" t="e">
        <f>IF(#REF!,"AAAAAHKleAA=",0)</f>
        <v>#REF!</v>
      </c>
      <c r="B10" t="e">
        <f>IF(#REF!,"AAAAAHKleAE=",0)</f>
        <v>#REF!</v>
      </c>
      <c r="C10" t="e">
        <f>IF(#REF!,"AAAAAHKleAI=",0)</f>
        <v>#REF!</v>
      </c>
      <c r="D10" t="e">
        <f>IF(#REF!,"AAAAAHKleAM=",0)</f>
        <v>#REF!</v>
      </c>
      <c r="E10" t="e">
        <f>AND(#REF!,"AAAAAHKleAQ=")</f>
        <v>#REF!</v>
      </c>
      <c r="F10" t="e">
        <f>AND(#REF!,"AAAAAHKleAU=")</f>
        <v>#REF!</v>
      </c>
      <c r="G10" t="e">
        <f>AND(#REF!,"AAAAAHKleAY=")</f>
        <v>#REF!</v>
      </c>
      <c r="H10" t="e">
        <f>AND(#REF!,"AAAAAHKleAc=")</f>
        <v>#REF!</v>
      </c>
      <c r="I10" t="e">
        <f>AND(#REF!,"AAAAAHKleAg=")</f>
        <v>#REF!</v>
      </c>
      <c r="J10" t="e">
        <f>AND(#REF!,"AAAAAHKleAk=")</f>
        <v>#REF!</v>
      </c>
      <c r="K10" t="e">
        <f>AND(#REF!,"AAAAAHKleAo=")</f>
        <v>#REF!</v>
      </c>
      <c r="L10" t="e">
        <f>IF(#REF!,"AAAAAHKleAs=",0)</f>
        <v>#REF!</v>
      </c>
      <c r="M10" t="e">
        <f>AND(#REF!,"AAAAAHKleAw=")</f>
        <v>#REF!</v>
      </c>
      <c r="N10" t="e">
        <f>AND(#REF!,"AAAAAHKleA0=")</f>
        <v>#REF!</v>
      </c>
      <c r="O10" t="e">
        <f>AND(#REF!,"AAAAAHKleA4=")</f>
        <v>#REF!</v>
      </c>
      <c r="P10" t="e">
        <f>AND(#REF!,"AAAAAHKleA8=")</f>
        <v>#REF!</v>
      </c>
      <c r="Q10" t="e">
        <f>AND(#REF!,"AAAAAHKleBA=")</f>
        <v>#REF!</v>
      </c>
      <c r="R10" t="e">
        <f>AND(#REF!,"AAAAAHKleBE=")</f>
        <v>#REF!</v>
      </c>
      <c r="S10" t="e">
        <f>AND(#REF!,"AAAAAHKleBI=")</f>
        <v>#REF!</v>
      </c>
      <c r="T10" t="e">
        <f>IF(#REF!,"AAAAAHKleBM=",0)</f>
        <v>#REF!</v>
      </c>
      <c r="U10" t="e">
        <f>AND(#REF!,"AAAAAHKleBQ=")</f>
        <v>#REF!</v>
      </c>
      <c r="V10" t="e">
        <f>AND(#REF!,"AAAAAHKleBU=")</f>
        <v>#REF!</v>
      </c>
      <c r="W10" t="e">
        <f>AND(#REF!,"AAAAAHKleBY=")</f>
        <v>#REF!</v>
      </c>
      <c r="X10" t="e">
        <f>AND(#REF!,"AAAAAHKleBc=")</f>
        <v>#REF!</v>
      </c>
      <c r="Y10" t="e">
        <f>AND(#REF!,"AAAAAHKleBg=")</f>
        <v>#REF!</v>
      </c>
      <c r="Z10" t="e">
        <f>AND(#REF!,"AAAAAHKleBk=")</f>
        <v>#REF!</v>
      </c>
      <c r="AA10" t="e">
        <f>AND(#REF!,"AAAAAHKleBo=")</f>
        <v>#REF!</v>
      </c>
      <c r="AB10" t="e">
        <f>IF(#REF!,"AAAAAHKleBs=",0)</f>
        <v>#REF!</v>
      </c>
      <c r="AC10" t="e">
        <f>AND(#REF!,"AAAAAHKleBw=")</f>
        <v>#REF!</v>
      </c>
      <c r="AD10" t="e">
        <f>AND(#REF!,"AAAAAHKleB0=")</f>
        <v>#REF!</v>
      </c>
      <c r="AE10" t="e">
        <f>AND(#REF!,"AAAAAHKleB4=")</f>
        <v>#REF!</v>
      </c>
      <c r="AF10" t="e">
        <f>AND(#REF!,"AAAAAHKleB8=")</f>
        <v>#REF!</v>
      </c>
      <c r="AG10" t="e">
        <f>AND(#REF!,"AAAAAHKleCA=")</f>
        <v>#REF!</v>
      </c>
      <c r="AH10" t="e">
        <f>AND(#REF!,"AAAAAHKleCE=")</f>
        <v>#REF!</v>
      </c>
      <c r="AI10" t="e">
        <f>AND(#REF!,"AAAAAHKleCI=")</f>
        <v>#REF!</v>
      </c>
      <c r="AJ10" t="e">
        <f>IF(#REF!,"AAAAAHKleCM=",0)</f>
        <v>#REF!</v>
      </c>
      <c r="AK10" t="e">
        <f>AND(#REF!,"AAAAAHKleCQ=")</f>
        <v>#REF!</v>
      </c>
      <c r="AL10" t="e">
        <f>IF(#REF!,"AAAAAHKleCU=",0)</f>
        <v>#REF!</v>
      </c>
      <c r="AM10" t="e">
        <f>AND(#REF!,"AAAAAHKleCY=")</f>
        <v>#REF!</v>
      </c>
      <c r="AN10" t="e">
        <f>IF(#REF!,"AAAAAHKleCc=",0)</f>
        <v>#REF!</v>
      </c>
      <c r="AO10" t="e">
        <f>AND(#REF!,"AAAAAHKleCg=")</f>
        <v>#REF!</v>
      </c>
      <c r="AP10" t="e">
        <f>IF(#REF!,"AAAAAHKleCk=",0)</f>
        <v>#REF!</v>
      </c>
      <c r="AQ10" t="e">
        <f>AND(#REF!,"AAAAAHKleCo=")</f>
        <v>#REF!</v>
      </c>
      <c r="AR10" t="e">
        <f>IF(#REF!,"AAAAAHKleCs=",0)</f>
        <v>#REF!</v>
      </c>
      <c r="AS10" t="e">
        <f>AND(#REF!,"AAAAAHKleCw=")</f>
        <v>#REF!</v>
      </c>
      <c r="AT10" t="e">
        <f>IF(#REF!,"AAAAAHKleC0=",0)</f>
        <v>#REF!</v>
      </c>
      <c r="AU10" t="e">
        <f>AND(#REF!,"AAAAAHKleC4=")</f>
        <v>#REF!</v>
      </c>
      <c r="AV10" t="e">
        <f>IF(#REF!,"AAAAAHKleC8=",0)</f>
        <v>#REF!</v>
      </c>
      <c r="AW10" t="e">
        <f>IF(#REF!,"AAAAAHKleDA=",0)</f>
        <v>#REF!</v>
      </c>
      <c r="AX10" t="e">
        <f>IF(#REF!,"AAAAAHKleDE=",0)</f>
        <v>#REF!</v>
      </c>
      <c r="AY10" t="e">
        <f>IF(#REF!,"AAAAAHKleDI=",0)</f>
        <v>#REF!</v>
      </c>
      <c r="AZ10" t="e">
        <f>IF(#REF!,"AAAAAHKleDM=",0)</f>
        <v>#REF!</v>
      </c>
      <c r="BA10" t="e">
        <f>IF(#REF!,"AAAAAHKleDQ=",0)</f>
        <v>#REF!</v>
      </c>
      <c r="BB10" t="e">
        <f>IF(#REF!,"AAAAAHKleDU=",0)</f>
        <v>#REF!</v>
      </c>
      <c r="BC10" t="e">
        <f>IF(#REF!,"AAAAAHKleDY=",0)</f>
        <v>#REF!</v>
      </c>
      <c r="BD10" t="e">
        <f>AND(#REF!,"AAAAAHKleDc=")</f>
        <v>#REF!</v>
      </c>
      <c r="BE10" t="e">
        <f>AND(#REF!,"AAAAAHKleDg=")</f>
        <v>#REF!</v>
      </c>
      <c r="BF10" t="e">
        <f>AND(#REF!,"AAAAAHKleDk=")</f>
        <v>#REF!</v>
      </c>
      <c r="BG10" t="e">
        <f>AND(#REF!,"AAAAAHKleDo=")</f>
        <v>#REF!</v>
      </c>
      <c r="BH10" t="e">
        <f>AND(#REF!,"AAAAAHKleDs=")</f>
        <v>#REF!</v>
      </c>
      <c r="BI10" t="e">
        <f>AND(#REF!,"AAAAAHKleDw=")</f>
        <v>#REF!</v>
      </c>
      <c r="BJ10" t="e">
        <f>IF(#REF!,"AAAAAHKleD0=",0)</f>
        <v>#REF!</v>
      </c>
      <c r="BK10" t="e">
        <f>AND(#REF!,"AAAAAHKleD4=")</f>
        <v>#REF!</v>
      </c>
      <c r="BL10" t="e">
        <f>AND(#REF!,"AAAAAHKleD8=")</f>
        <v>#REF!</v>
      </c>
      <c r="BM10" t="e">
        <f>AND(#REF!,"AAAAAHKleEA=")</f>
        <v>#REF!</v>
      </c>
      <c r="BN10" t="e">
        <f>AND(#REF!,"AAAAAHKleEE=")</f>
        <v>#REF!</v>
      </c>
      <c r="BO10" t="e">
        <f>AND(#REF!,"AAAAAHKleEI=")</f>
        <v>#REF!</v>
      </c>
      <c r="BP10" t="e">
        <f>AND(#REF!,"AAAAAHKleEM=")</f>
        <v>#REF!</v>
      </c>
      <c r="BQ10" t="e">
        <f>IF(#REF!,"AAAAAHKleEQ=",0)</f>
        <v>#REF!</v>
      </c>
      <c r="BR10" t="e">
        <f>AND(#REF!,"AAAAAHKleEU=")</f>
        <v>#REF!</v>
      </c>
      <c r="BS10" t="e">
        <f>AND(#REF!,"AAAAAHKleEY=")</f>
        <v>#REF!</v>
      </c>
      <c r="BT10" t="e">
        <f>AND(#REF!,"AAAAAHKleEc=")</f>
        <v>#REF!</v>
      </c>
      <c r="BU10" t="e">
        <f>AND(#REF!,"AAAAAHKleEg=")</f>
        <v>#REF!</v>
      </c>
      <c r="BV10" t="e">
        <f>AND(#REF!,"AAAAAHKleEk=")</f>
        <v>#REF!</v>
      </c>
      <c r="BW10" t="e">
        <f>AND(#REF!,"AAAAAHKleEo=")</f>
        <v>#REF!</v>
      </c>
      <c r="BX10" t="e">
        <f>IF(#REF!,"AAAAAHKleEs=",0)</f>
        <v>#REF!</v>
      </c>
      <c r="BY10" t="e">
        <f>AND(#REF!,"AAAAAHKleEw=")</f>
        <v>#REF!</v>
      </c>
      <c r="BZ10" t="e">
        <f>AND(#REF!,"AAAAAHKleE0=")</f>
        <v>#REF!</v>
      </c>
      <c r="CA10" t="e">
        <f>AND(#REF!,"AAAAAHKleE4=")</f>
        <v>#REF!</v>
      </c>
      <c r="CB10" t="e">
        <f>AND(#REF!,"AAAAAHKleE8=")</f>
        <v>#REF!</v>
      </c>
      <c r="CC10" t="e">
        <f>AND(#REF!,"AAAAAHKleFA=")</f>
        <v>#REF!</v>
      </c>
      <c r="CD10" t="e">
        <f>AND(#REF!,"AAAAAHKleFE=")</f>
        <v>#REF!</v>
      </c>
      <c r="CE10" t="e">
        <f>IF(#REF!,"AAAAAHKleFI=",0)</f>
        <v>#REF!</v>
      </c>
      <c r="CF10" t="e">
        <f>AND(#REF!,"AAAAAHKleFM=")</f>
        <v>#REF!</v>
      </c>
      <c r="CG10" t="e">
        <f>AND(#REF!,"AAAAAHKleFQ=")</f>
        <v>#REF!</v>
      </c>
      <c r="CH10" t="e">
        <f>AND(#REF!,"AAAAAHKleFU=")</f>
        <v>#REF!</v>
      </c>
      <c r="CI10" t="e">
        <f>AND(#REF!,"AAAAAHKleFY=")</f>
        <v>#REF!</v>
      </c>
      <c r="CJ10" t="e">
        <f>AND(#REF!,"AAAAAHKleFc=")</f>
        <v>#REF!</v>
      </c>
      <c r="CK10" t="e">
        <f>AND(#REF!,"AAAAAHKleFg=")</f>
        <v>#REF!</v>
      </c>
      <c r="CL10" t="e">
        <f>IF(#REF!,"AAAAAHKleFk=",0)</f>
        <v>#REF!</v>
      </c>
      <c r="CM10" t="e">
        <f>AND(#REF!,"AAAAAHKleFo=")</f>
        <v>#REF!</v>
      </c>
      <c r="CN10" t="e">
        <f>IF(#REF!,"AAAAAHKleFs=",0)</f>
        <v>#REF!</v>
      </c>
      <c r="CO10" t="e">
        <f>AND(#REF!,"AAAAAHKleFw=")</f>
        <v>#REF!</v>
      </c>
      <c r="CP10" t="e">
        <f>IF(#REF!,"AAAAAHKleF0=",0)</f>
        <v>#REF!</v>
      </c>
      <c r="CQ10" t="e">
        <f>AND(#REF!,"AAAAAHKleF4=")</f>
        <v>#REF!</v>
      </c>
      <c r="CR10" t="e">
        <f>IF(#REF!,"AAAAAHKleF8=",0)</f>
        <v>#REF!</v>
      </c>
      <c r="CS10" t="e">
        <f>AND(#REF!,"AAAAAHKleGA=")</f>
        <v>#REF!</v>
      </c>
      <c r="CT10" t="e">
        <f>IF(#REF!,"AAAAAHKleGE=",0)</f>
        <v>#REF!</v>
      </c>
      <c r="CU10" t="e">
        <f>AND(#REF!,"AAAAAHKleGI=")</f>
        <v>#REF!</v>
      </c>
      <c r="CV10" t="e">
        <f>IF(#REF!,"AAAAAHKleGM=",0)</f>
        <v>#REF!</v>
      </c>
      <c r="CW10" t="e">
        <f>IF(#REF!,"AAAAAHKleGQ=",0)</f>
        <v>#REF!</v>
      </c>
      <c r="CX10" t="e">
        <f>IF(#REF!,"AAAAAHKleGU=",0)</f>
        <v>#REF!</v>
      </c>
      <c r="CY10" t="e">
        <f>IF(#REF!,"AAAAAHKleGY=",0)</f>
        <v>#REF!</v>
      </c>
      <c r="CZ10" t="e">
        <f>IF(#REF!,"AAAAAHKleGc=",0)</f>
        <v>#REF!</v>
      </c>
      <c r="DA10" t="e">
        <f>IF(#REF!,"AAAAAHKleGg=",0)</f>
        <v>#REF!</v>
      </c>
      <c r="DB10" t="e">
        <f>IF(#REF!,"AAAAAHKleGk=",0)</f>
        <v>#REF!</v>
      </c>
      <c r="DC10" t="e">
        <f>AND(#REF!,"AAAAAHKleGo=")</f>
        <v>#REF!</v>
      </c>
      <c r="DD10" t="e">
        <f>AND(#REF!,"AAAAAHKleGs=")</f>
        <v>#REF!</v>
      </c>
      <c r="DE10" t="e">
        <f>AND(#REF!,"AAAAAHKleGw=")</f>
        <v>#REF!</v>
      </c>
      <c r="DF10" t="e">
        <f>AND(#REF!,"AAAAAHKleG0=")</f>
        <v>#REF!</v>
      </c>
      <c r="DG10" t="e">
        <f>AND(#REF!,"AAAAAHKleG4=")</f>
        <v>#REF!</v>
      </c>
      <c r="DH10" t="e">
        <f>AND(#REF!,"AAAAAHKleG8=")</f>
        <v>#REF!</v>
      </c>
      <c r="DI10" t="e">
        <f>AND(#REF!,"AAAAAHKleHA=")</f>
        <v>#REF!</v>
      </c>
      <c r="DJ10" t="e">
        <f>AND(#REF!,"AAAAAHKleHE=")</f>
        <v>#REF!</v>
      </c>
      <c r="DK10" t="e">
        <f>IF(#REF!,"AAAAAHKleHI=",0)</f>
        <v>#REF!</v>
      </c>
      <c r="DL10" t="e">
        <f>AND(#REF!,"AAAAAHKleHM=")</f>
        <v>#REF!</v>
      </c>
      <c r="DM10" t="e">
        <f>AND(#REF!,"AAAAAHKleHQ=")</f>
        <v>#REF!</v>
      </c>
      <c r="DN10" t="e">
        <f>AND(#REF!,"AAAAAHKleHU=")</f>
        <v>#REF!</v>
      </c>
      <c r="DO10" t="e">
        <f>AND(#REF!,"AAAAAHKleHY=")</f>
        <v>#REF!</v>
      </c>
      <c r="DP10" t="e">
        <f>AND(#REF!,"AAAAAHKleHc=")</f>
        <v>#REF!</v>
      </c>
      <c r="DQ10" t="e">
        <f>AND(#REF!,"AAAAAHKleHg=")</f>
        <v>#REF!</v>
      </c>
      <c r="DR10" t="e">
        <f>AND(#REF!,"AAAAAHKleHk=")</f>
        <v>#REF!</v>
      </c>
      <c r="DS10" t="e">
        <f>AND(#REF!,"AAAAAHKleHo=")</f>
        <v>#REF!</v>
      </c>
      <c r="DT10" t="e">
        <f>IF(#REF!,"AAAAAHKleHs=",0)</f>
        <v>#REF!</v>
      </c>
      <c r="DU10" t="e">
        <f>AND(#REF!,"AAAAAHKleHw=")</f>
        <v>#REF!</v>
      </c>
      <c r="DV10" t="e">
        <f>AND(#REF!,"AAAAAHKleH0=")</f>
        <v>#REF!</v>
      </c>
      <c r="DW10" t="e">
        <f>AND(#REF!,"AAAAAHKleH4=")</f>
        <v>#REF!</v>
      </c>
      <c r="DX10" t="e">
        <f>AND(#REF!,"AAAAAHKleH8=")</f>
        <v>#REF!</v>
      </c>
      <c r="DY10" t="e">
        <f>AND(#REF!,"AAAAAHKleIA=")</f>
        <v>#REF!</v>
      </c>
      <c r="DZ10" t="e">
        <f>AND(#REF!,"AAAAAHKleIE=")</f>
        <v>#REF!</v>
      </c>
      <c r="EA10" t="e">
        <f>AND(#REF!,"AAAAAHKleII=")</f>
        <v>#REF!</v>
      </c>
      <c r="EB10" t="e">
        <f>AND(#REF!,"AAAAAHKleIM=")</f>
        <v>#REF!</v>
      </c>
      <c r="EC10" t="e">
        <f>IF(#REF!,"AAAAAHKleIQ=",0)</f>
        <v>#REF!</v>
      </c>
      <c r="ED10" t="e">
        <f>AND(#REF!,"AAAAAHKleIU=")</f>
        <v>#REF!</v>
      </c>
      <c r="EE10" t="e">
        <f>AND(#REF!,"AAAAAHKleIY=")</f>
        <v>#REF!</v>
      </c>
      <c r="EF10" t="e">
        <f>AND(#REF!,"AAAAAHKleIc=")</f>
        <v>#REF!</v>
      </c>
      <c r="EG10" t="e">
        <f>AND(#REF!,"AAAAAHKleIg=")</f>
        <v>#REF!</v>
      </c>
      <c r="EH10" t="e">
        <f>AND(#REF!,"AAAAAHKleIk=")</f>
        <v>#REF!</v>
      </c>
      <c r="EI10" t="e">
        <f>AND(#REF!,"AAAAAHKleIo=")</f>
        <v>#REF!</v>
      </c>
      <c r="EJ10" t="e">
        <f>AND(#REF!,"AAAAAHKleIs=")</f>
        <v>#REF!</v>
      </c>
      <c r="EK10" t="e">
        <f>AND(#REF!,"AAAAAHKleIw=")</f>
        <v>#REF!</v>
      </c>
      <c r="EL10" t="e">
        <f>IF(#REF!,"AAAAAHKleI0=",0)</f>
        <v>#REF!</v>
      </c>
      <c r="EM10" t="e">
        <f>AND(#REF!,"AAAAAHKleI4=")</f>
        <v>#REF!</v>
      </c>
      <c r="EN10" t="e">
        <f>IF(#REF!,"AAAAAHKleI8=",0)</f>
        <v>#REF!</v>
      </c>
      <c r="EO10" t="e">
        <f>AND(#REF!,"AAAAAHKleJA=")</f>
        <v>#REF!</v>
      </c>
      <c r="EP10" t="e">
        <f>IF(#REF!,"AAAAAHKleJE=",0)</f>
        <v>#REF!</v>
      </c>
      <c r="EQ10" t="e">
        <f>AND(#REF!,"AAAAAHKleJI=")</f>
        <v>#REF!</v>
      </c>
      <c r="ER10" t="e">
        <f>IF(#REF!,"AAAAAHKleJM=",0)</f>
        <v>#REF!</v>
      </c>
      <c r="ES10" t="e">
        <f>AND(#REF!,"AAAAAHKleJQ=")</f>
        <v>#REF!</v>
      </c>
      <c r="ET10" t="e">
        <f>IF(#REF!,"AAAAAHKleJU=",0)</f>
        <v>#REF!</v>
      </c>
      <c r="EU10" t="e">
        <f>AND(#REF!,"AAAAAHKleJY=")</f>
        <v>#REF!</v>
      </c>
      <c r="EV10" t="e">
        <f>IF(#REF!,"AAAAAHKleJc=",0)</f>
        <v>#REF!</v>
      </c>
      <c r="EW10" t="e">
        <f>IF(#REF!,"AAAAAHKleJg=",0)</f>
        <v>#REF!</v>
      </c>
      <c r="EX10" t="e">
        <f>IF(#REF!,"AAAAAHKleJk=",0)</f>
        <v>#REF!</v>
      </c>
      <c r="EY10" t="e">
        <f>IF(#REF!,"AAAAAHKleJo=",0)</f>
        <v>#REF!</v>
      </c>
      <c r="EZ10" t="e">
        <f>IF(#REF!,"AAAAAHKleJs=",0)</f>
        <v>#REF!</v>
      </c>
      <c r="FA10" t="e">
        <f>IF(#REF!,"AAAAAHKleJw=",0)</f>
        <v>#REF!</v>
      </c>
      <c r="FB10" t="e">
        <f>IF(#REF!,"AAAAAHKleJ0=",0)</f>
        <v>#REF!</v>
      </c>
      <c r="FC10" t="e">
        <f>IF(#REF!,"AAAAAHKleJ4=",0)</f>
        <v>#REF!</v>
      </c>
      <c r="FD10" t="e">
        <f>IF(#REF!,"AAAAAHKleJ8=",0)</f>
        <v>#REF!</v>
      </c>
      <c r="FE10" t="e">
        <f>AND(#REF!,"AAAAAHKleKA=")</f>
        <v>#REF!</v>
      </c>
      <c r="FF10" t="e">
        <f>AND(#REF!,"AAAAAHKleKE=")</f>
        <v>#REF!</v>
      </c>
      <c r="FG10" t="e">
        <f>AND(#REF!,"AAAAAHKleKI=")</f>
        <v>#REF!</v>
      </c>
      <c r="FH10" t="e">
        <f>AND(#REF!,"AAAAAHKleKM=")</f>
        <v>#REF!</v>
      </c>
      <c r="FI10" t="e">
        <f>AND(#REF!,"AAAAAHKleKQ=")</f>
        <v>#REF!</v>
      </c>
      <c r="FJ10" t="e">
        <f>IF(#REF!,"AAAAAHKleKU=",0)</f>
        <v>#REF!</v>
      </c>
      <c r="FK10" t="e">
        <f>AND(#REF!,"AAAAAHKleKY=")</f>
        <v>#REF!</v>
      </c>
      <c r="FL10" t="e">
        <f>AND(#REF!,"AAAAAHKleKc=")</f>
        <v>#REF!</v>
      </c>
      <c r="FM10" t="e">
        <f>AND(#REF!,"AAAAAHKleKg=")</f>
        <v>#REF!</v>
      </c>
      <c r="FN10" t="e">
        <f>AND(#REF!,"AAAAAHKleKk=")</f>
        <v>#REF!</v>
      </c>
      <c r="FO10" t="e">
        <f>AND(#REF!,"AAAAAHKleKo=")</f>
        <v>#REF!</v>
      </c>
      <c r="FP10" t="e">
        <f>IF(#REF!,"AAAAAHKleKs=",0)</f>
        <v>#REF!</v>
      </c>
      <c r="FQ10" t="e">
        <f>AND(#REF!,"AAAAAHKleKw=")</f>
        <v>#REF!</v>
      </c>
      <c r="FR10" t="e">
        <f>AND(#REF!,"AAAAAHKleK0=")</f>
        <v>#REF!</v>
      </c>
      <c r="FS10" t="e">
        <f>AND(#REF!,"AAAAAHKleK4=")</f>
        <v>#REF!</v>
      </c>
      <c r="FT10" t="e">
        <f>AND(#REF!,"AAAAAHKleK8=")</f>
        <v>#REF!</v>
      </c>
      <c r="FU10" t="e">
        <f>AND(#REF!,"AAAAAHKleLA=")</f>
        <v>#REF!</v>
      </c>
      <c r="FV10" t="e">
        <f>IF(#REF!,"AAAAAHKleLE=",0)</f>
        <v>#REF!</v>
      </c>
      <c r="FW10" t="e">
        <f>AND(#REF!,"AAAAAHKleLI=")</f>
        <v>#REF!</v>
      </c>
      <c r="FX10" t="e">
        <f>AND(#REF!,"AAAAAHKleLM=")</f>
        <v>#REF!</v>
      </c>
      <c r="FY10" t="e">
        <f>AND(#REF!,"AAAAAHKleLQ=")</f>
        <v>#REF!</v>
      </c>
      <c r="FZ10" t="e">
        <f>AND(#REF!,"AAAAAHKleLU=")</f>
        <v>#REF!</v>
      </c>
      <c r="GA10" t="e">
        <f>AND(#REF!,"AAAAAHKleLY=")</f>
        <v>#REF!</v>
      </c>
      <c r="GB10" t="e">
        <f>IF(#REF!,"AAAAAHKleLc=",0)</f>
        <v>#REF!</v>
      </c>
      <c r="GC10" t="e">
        <f>AND(#REF!,"AAAAAHKleLg=")</f>
        <v>#REF!</v>
      </c>
      <c r="GD10" t="e">
        <f>AND(#REF!,"AAAAAHKleLk=")</f>
        <v>#REF!</v>
      </c>
      <c r="GE10" t="e">
        <f>AND(#REF!,"AAAAAHKleLo=")</f>
        <v>#REF!</v>
      </c>
      <c r="GF10" t="e">
        <f>AND(#REF!,"AAAAAHKleLs=")</f>
        <v>#REF!</v>
      </c>
      <c r="GG10" t="e">
        <f>AND(#REF!,"AAAAAHKleLw=")</f>
        <v>#REF!</v>
      </c>
      <c r="GH10" t="e">
        <f>IF(#REF!,"AAAAAHKleL0=",0)</f>
        <v>#REF!</v>
      </c>
      <c r="GI10" t="e">
        <f>AND(#REF!,"AAAAAHKleL4=")</f>
        <v>#REF!</v>
      </c>
      <c r="GJ10" t="e">
        <f>AND(#REF!,"AAAAAHKleL8=")</f>
        <v>#REF!</v>
      </c>
      <c r="GK10" t="e">
        <f>AND(#REF!,"AAAAAHKleMA=")</f>
        <v>#REF!</v>
      </c>
      <c r="GL10" t="e">
        <f>AND(#REF!,"AAAAAHKleME=")</f>
        <v>#REF!</v>
      </c>
      <c r="GM10" t="e">
        <f>AND(#REF!,"AAAAAHKleMI=")</f>
        <v>#REF!</v>
      </c>
      <c r="GN10" t="e">
        <f>IF(#REF!,"AAAAAHKleMM=",0)</f>
        <v>#REF!</v>
      </c>
      <c r="GO10" t="e">
        <f>AND(#REF!,"AAAAAHKleMQ=")</f>
        <v>#REF!</v>
      </c>
      <c r="GP10" t="e">
        <f>AND(#REF!,"AAAAAHKleMU=")</f>
        <v>#REF!</v>
      </c>
      <c r="GQ10" t="e">
        <f>AND(#REF!,"AAAAAHKleMY=")</f>
        <v>#REF!</v>
      </c>
      <c r="GR10" t="e">
        <f>AND(#REF!,"AAAAAHKleMc=")</f>
        <v>#REF!</v>
      </c>
      <c r="GS10" t="e">
        <f>AND(#REF!,"AAAAAHKleMg=")</f>
        <v>#REF!</v>
      </c>
      <c r="GT10" t="e">
        <f>IF(#REF!,"AAAAAHKleMk=",0)</f>
        <v>#REF!</v>
      </c>
      <c r="GU10" t="e">
        <f>AND(#REF!,"AAAAAHKleMo=")</f>
        <v>#REF!</v>
      </c>
      <c r="GV10" t="e">
        <f>AND(#REF!,"AAAAAHKleMs=")</f>
        <v>#REF!</v>
      </c>
      <c r="GW10" t="e">
        <f>AND(#REF!,"AAAAAHKleMw=")</f>
        <v>#REF!</v>
      </c>
      <c r="GX10" t="e">
        <f>AND(#REF!,"AAAAAHKleM0=")</f>
        <v>#REF!</v>
      </c>
      <c r="GY10" t="e">
        <f>AND(#REF!,"AAAAAHKleM4=")</f>
        <v>#REF!</v>
      </c>
      <c r="GZ10" t="e">
        <f>IF(#REF!,"AAAAAHKleM8=",0)</f>
        <v>#REF!</v>
      </c>
      <c r="HA10" t="e">
        <f>AND(#REF!,"AAAAAHKleNA=")</f>
        <v>#REF!</v>
      </c>
      <c r="HB10" t="e">
        <f>IF(#REF!,"AAAAAHKleNE=",0)</f>
        <v>#REF!</v>
      </c>
      <c r="HC10" t="e">
        <f>AND(#REF!,"AAAAAHKleNI=")</f>
        <v>#REF!</v>
      </c>
      <c r="HD10" t="e">
        <f>IF(#REF!,"AAAAAHKleNM=",0)</f>
        <v>#REF!</v>
      </c>
      <c r="HE10" t="e">
        <f>AND(#REF!,"AAAAAHKleNQ=")</f>
        <v>#REF!</v>
      </c>
      <c r="HF10" t="e">
        <f>IF(#REF!,"AAAAAHKleNU=",0)</f>
        <v>#REF!</v>
      </c>
      <c r="HG10" t="e">
        <f>AND(#REF!,"AAAAAHKleNY=")</f>
        <v>#REF!</v>
      </c>
      <c r="HH10" t="e">
        <f>IF(#REF!,"AAAAAHKleNc=",0)</f>
        <v>#REF!</v>
      </c>
      <c r="HI10" t="e">
        <f>AND(#REF!,"AAAAAHKleNg=")</f>
        <v>#REF!</v>
      </c>
      <c r="HJ10" t="e">
        <f>IF(#REF!,"AAAAAHKleNk=",0)</f>
        <v>#REF!</v>
      </c>
      <c r="HK10" t="e">
        <f>AND(#REF!,"AAAAAHKleNo=")</f>
        <v>#REF!</v>
      </c>
      <c r="HL10" t="e">
        <f>IF(#REF!,"AAAAAHKleNs=",0)</f>
        <v>#REF!</v>
      </c>
      <c r="HM10" t="e">
        <f>AND(#REF!,"AAAAAHKleNw=")</f>
        <v>#REF!</v>
      </c>
      <c r="HN10" t="e">
        <f>IF(#REF!,"AAAAAHKleN0=",0)</f>
        <v>#REF!</v>
      </c>
      <c r="HO10" t="e">
        <f>IF(#REF!,"AAAAAHKleN4=",0)</f>
        <v>#REF!</v>
      </c>
      <c r="HP10" t="e">
        <f>IF(#REF!,"AAAAAHKleN8=",0)</f>
        <v>#REF!</v>
      </c>
      <c r="HQ10" t="e">
        <f>IF(#REF!,"AAAAAHKleOA=",0)</f>
        <v>#REF!</v>
      </c>
      <c r="HR10" t="e">
        <f>IF(#REF!,"AAAAAHKleOE=",0)</f>
        <v>#REF!</v>
      </c>
      <c r="HS10" t="e">
        <f>IF(#REF!,"AAAAAHKleOI=",0)</f>
        <v>#REF!</v>
      </c>
      <c r="HT10" t="e">
        <f>AND(#REF!,"AAAAAHKleOM=")</f>
        <v>#REF!</v>
      </c>
      <c r="HU10" t="e">
        <f>AND(#REF!,"AAAAAHKleOQ=")</f>
        <v>#REF!</v>
      </c>
      <c r="HV10" t="e">
        <f>AND(#REF!,"AAAAAHKleOU=")</f>
        <v>#REF!</v>
      </c>
      <c r="HW10" t="e">
        <f>IF(#REF!,"AAAAAHKleOY=",0)</f>
        <v>#REF!</v>
      </c>
      <c r="HX10" t="e">
        <f>AND(#REF!,"AAAAAHKleOc=")</f>
        <v>#REF!</v>
      </c>
      <c r="HY10" t="e">
        <f>AND(#REF!,"AAAAAHKleOg=")</f>
        <v>#REF!</v>
      </c>
      <c r="HZ10" t="e">
        <f>AND(#REF!,"AAAAAHKleOk=")</f>
        <v>#REF!</v>
      </c>
      <c r="IA10" t="e">
        <f>IF(#REF!,"AAAAAHKleOo=",0)</f>
        <v>#REF!</v>
      </c>
      <c r="IB10" t="e">
        <f>AND(#REF!,"AAAAAHKleOs=")</f>
        <v>#REF!</v>
      </c>
      <c r="IC10" t="e">
        <f>AND(#REF!,"AAAAAHKleOw=")</f>
        <v>#REF!</v>
      </c>
      <c r="ID10" t="e">
        <f>AND(#REF!,"AAAAAHKleO0=")</f>
        <v>#REF!</v>
      </c>
      <c r="IE10" t="e">
        <f>IF(#REF!,"AAAAAHKleO4=",0)</f>
        <v>#REF!</v>
      </c>
      <c r="IF10" t="e">
        <f>AND(#REF!,"AAAAAHKleO8=")</f>
        <v>#REF!</v>
      </c>
      <c r="IG10" t="e">
        <f>AND(#REF!,"AAAAAHKlePA=")</f>
        <v>#REF!</v>
      </c>
      <c r="IH10" t="e">
        <f>AND(#REF!,"AAAAAHKlePE=")</f>
        <v>#REF!</v>
      </c>
      <c r="II10" t="e">
        <f>IF(#REF!,"AAAAAHKlePI=",0)</f>
        <v>#REF!</v>
      </c>
      <c r="IJ10" t="e">
        <f>AND(#REF!,"AAAAAHKlePM=")</f>
        <v>#REF!</v>
      </c>
      <c r="IK10" t="e">
        <f>AND(#REF!,"AAAAAHKlePQ=")</f>
        <v>#REF!</v>
      </c>
      <c r="IL10" t="e">
        <f>AND(#REF!,"AAAAAHKlePU=")</f>
        <v>#REF!</v>
      </c>
      <c r="IM10" t="e">
        <f>IF(#REF!,"AAAAAHKlePY=",0)</f>
        <v>#REF!</v>
      </c>
      <c r="IN10" t="e">
        <f>AND(#REF!,"AAAAAHKlePc=")</f>
        <v>#REF!</v>
      </c>
      <c r="IO10" t="e">
        <f>AND(#REF!,"AAAAAHKlePg=")</f>
        <v>#REF!</v>
      </c>
      <c r="IP10" t="e">
        <f>AND(#REF!,"AAAAAHKlePk=")</f>
        <v>#REF!</v>
      </c>
      <c r="IQ10" t="e">
        <f>IF(#REF!,"AAAAAHKlePo=",0)</f>
        <v>#REF!</v>
      </c>
      <c r="IR10" t="e">
        <f>AND(#REF!,"AAAAAHKlePs=")</f>
        <v>#REF!</v>
      </c>
      <c r="IS10" t="e">
        <f>AND(#REF!,"AAAAAHKlePw=")</f>
        <v>#REF!</v>
      </c>
      <c r="IT10" t="e">
        <f>AND(#REF!,"AAAAAHKleP0=")</f>
        <v>#REF!</v>
      </c>
      <c r="IU10" t="e">
        <f>IF(#REF!,"AAAAAHKleP4=",0)</f>
        <v>#REF!</v>
      </c>
      <c r="IV10" t="e">
        <f>AND(#REF!,"AAAAAHKleP8=")</f>
        <v>#REF!</v>
      </c>
    </row>
    <row r="11" spans="1:256">
      <c r="A11" t="e">
        <f>AND(#REF!,"AAAAAFeP+gA=")</f>
        <v>#REF!</v>
      </c>
      <c r="B11" t="e">
        <f>AND(#REF!,"AAAAAFeP+gE=")</f>
        <v>#REF!</v>
      </c>
      <c r="C11" t="e">
        <f>IF(#REF!,"AAAAAFeP+gI=",0)</f>
        <v>#REF!</v>
      </c>
      <c r="D11" t="e">
        <f>AND(#REF!,"AAAAAFeP+gM=")</f>
        <v>#REF!</v>
      </c>
      <c r="E11" t="e">
        <f>AND(#REF!,"AAAAAFeP+gQ=")</f>
        <v>#REF!</v>
      </c>
      <c r="F11" t="e">
        <f>AND(#REF!,"AAAAAFeP+gU=")</f>
        <v>#REF!</v>
      </c>
      <c r="G11" t="e">
        <f>IF(#REF!,"AAAAAFeP+gY=",0)</f>
        <v>#REF!</v>
      </c>
      <c r="H11" t="e">
        <f>AND(#REF!,"AAAAAFeP+gc=")</f>
        <v>#REF!</v>
      </c>
      <c r="I11" t="e">
        <f>AND(#REF!,"AAAAAFeP+gg=")</f>
        <v>#REF!</v>
      </c>
      <c r="J11" t="e">
        <f>AND(#REF!,"AAAAAFeP+gk=")</f>
        <v>#REF!</v>
      </c>
      <c r="K11" t="e">
        <f>IF(#REF!,"AAAAAFeP+go=",0)</f>
        <v>#REF!</v>
      </c>
      <c r="L11" t="e">
        <f>AND(#REF!,"AAAAAFeP+gs=")</f>
        <v>#REF!</v>
      </c>
      <c r="M11" t="e">
        <f>AND(#REF!,"AAAAAFeP+gw=")</f>
        <v>#REF!</v>
      </c>
      <c r="N11" t="e">
        <f>AND(#REF!,"AAAAAFeP+g0=")</f>
        <v>#REF!</v>
      </c>
      <c r="O11" t="e">
        <f>IF(#REF!,"AAAAAFeP+g4=",0)</f>
        <v>#REF!</v>
      </c>
      <c r="P11" t="e">
        <f>AND(#REF!,"AAAAAFeP+g8=")</f>
        <v>#REF!</v>
      </c>
      <c r="Q11" t="e">
        <f>AND(#REF!,"AAAAAFeP+hA=")</f>
        <v>#REF!</v>
      </c>
      <c r="R11" t="e">
        <f>AND(#REF!,"AAAAAFeP+hE=")</f>
        <v>#REF!</v>
      </c>
      <c r="S11" t="e">
        <f>IF(#REF!,"AAAAAFeP+hI=",0)</f>
        <v>#REF!</v>
      </c>
      <c r="T11" t="e">
        <f>AND(#REF!,"AAAAAFeP+hM=")</f>
        <v>#REF!</v>
      </c>
      <c r="U11" t="e">
        <f>AND(#REF!,"AAAAAFeP+hQ=")</f>
        <v>#REF!</v>
      </c>
      <c r="V11" t="e">
        <f>AND(#REF!,"AAAAAFeP+hU=")</f>
        <v>#REF!</v>
      </c>
      <c r="W11" t="e">
        <f>IF(#REF!,"AAAAAFeP+hY=",0)</f>
        <v>#REF!</v>
      </c>
      <c r="X11" t="e">
        <f>AND(#REF!,"AAAAAFeP+hc=")</f>
        <v>#REF!</v>
      </c>
      <c r="Y11" t="e">
        <f>AND(#REF!,"AAAAAFeP+hg=")</f>
        <v>#REF!</v>
      </c>
      <c r="Z11" t="e">
        <f>AND(#REF!,"AAAAAFeP+hk=")</f>
        <v>#REF!</v>
      </c>
      <c r="AA11" t="e">
        <f>IF(#REF!,"AAAAAFeP+ho=",0)</f>
        <v>#REF!</v>
      </c>
      <c r="AB11" t="e">
        <f>AND(#REF!,"AAAAAFeP+hs=")</f>
        <v>#REF!</v>
      </c>
      <c r="AC11" t="e">
        <f>AND(#REF!,"AAAAAFeP+hw=")</f>
        <v>#REF!</v>
      </c>
      <c r="AD11" t="e">
        <f>AND(#REF!,"AAAAAFeP+h0=")</f>
        <v>#REF!</v>
      </c>
      <c r="AE11" t="e">
        <f>IF(#REF!,"AAAAAFeP+h4=",0)</f>
        <v>#REF!</v>
      </c>
      <c r="AF11" t="e">
        <f>AND(#REF!,"AAAAAFeP+h8=")</f>
        <v>#REF!</v>
      </c>
      <c r="AG11" t="e">
        <f>AND(#REF!,"AAAAAFeP+iA=")</f>
        <v>#REF!</v>
      </c>
      <c r="AH11" t="e">
        <f>AND(#REF!,"AAAAAFeP+iE=")</f>
        <v>#REF!</v>
      </c>
      <c r="AI11" t="e">
        <f>IF(#REF!,"AAAAAFeP+iI=",0)</f>
        <v>#REF!</v>
      </c>
      <c r="AJ11" t="e">
        <f>AND(#REF!,"AAAAAFeP+iM=")</f>
        <v>#REF!</v>
      </c>
      <c r="AK11" t="e">
        <f>AND(#REF!,"AAAAAFeP+iQ=")</f>
        <v>#REF!</v>
      </c>
      <c r="AL11" t="e">
        <f>AND(#REF!,"AAAAAFeP+iU=")</f>
        <v>#REF!</v>
      </c>
      <c r="AM11" t="e">
        <f>IF(#REF!,"AAAAAFeP+iY=",0)</f>
        <v>#REF!</v>
      </c>
      <c r="AN11" t="e">
        <f>AND(#REF!,"AAAAAFeP+ic=")</f>
        <v>#REF!</v>
      </c>
      <c r="AO11" t="e">
        <f>AND(#REF!,"AAAAAFeP+ig=")</f>
        <v>#REF!</v>
      </c>
      <c r="AP11" t="e">
        <f>AND(#REF!,"AAAAAFeP+ik=")</f>
        <v>#REF!</v>
      </c>
      <c r="AQ11" t="e">
        <f>IF(#REF!,"AAAAAFeP+io=",0)</f>
        <v>#REF!</v>
      </c>
      <c r="AR11" t="e">
        <f>AND(#REF!,"AAAAAFeP+is=")</f>
        <v>#REF!</v>
      </c>
      <c r="AS11" t="e">
        <f>AND(#REF!,"AAAAAFeP+iw=")</f>
        <v>#REF!</v>
      </c>
      <c r="AT11" t="e">
        <f>AND(#REF!,"AAAAAFeP+i0=")</f>
        <v>#REF!</v>
      </c>
      <c r="AU11" t="e">
        <f>IF(#REF!,"AAAAAFeP+i4=",0)</f>
        <v>#REF!</v>
      </c>
      <c r="AV11" t="e">
        <f>AND(#REF!,"AAAAAFeP+i8=")</f>
        <v>#REF!</v>
      </c>
      <c r="AW11" t="e">
        <f>AND(#REF!,"AAAAAFeP+jA=")</f>
        <v>#REF!</v>
      </c>
      <c r="AX11" t="e">
        <f>AND(#REF!,"AAAAAFeP+jE=")</f>
        <v>#REF!</v>
      </c>
      <c r="AY11" t="e">
        <f>IF(#REF!,"AAAAAFeP+jI=",0)</f>
        <v>#REF!</v>
      </c>
      <c r="AZ11" t="e">
        <f>AND(#REF!,"AAAAAFeP+jM=")</f>
        <v>#REF!</v>
      </c>
      <c r="BA11" t="e">
        <f>AND(#REF!,"AAAAAFeP+jQ=")</f>
        <v>#REF!</v>
      </c>
      <c r="BB11" t="e">
        <f>AND(#REF!,"AAAAAFeP+jU=")</f>
        <v>#REF!</v>
      </c>
      <c r="BC11" t="e">
        <f>IF(#REF!,"AAAAAFeP+jY=",0)</f>
        <v>#REF!</v>
      </c>
      <c r="BD11" t="e">
        <f>AND(#REF!,"AAAAAFeP+jc=")</f>
        <v>#REF!</v>
      </c>
      <c r="BE11" t="e">
        <f>AND(#REF!,"AAAAAFeP+jg=")</f>
        <v>#REF!</v>
      </c>
      <c r="BF11" t="e">
        <f>AND(#REF!,"AAAAAFeP+jk=")</f>
        <v>#REF!</v>
      </c>
      <c r="BG11" t="e">
        <f>IF(#REF!,"AAAAAFeP+jo=",0)</f>
        <v>#REF!</v>
      </c>
      <c r="BH11" t="e">
        <f>AND(#REF!,"AAAAAFeP+js=")</f>
        <v>#REF!</v>
      </c>
      <c r="BI11" t="e">
        <f>AND(#REF!,"AAAAAFeP+jw=")</f>
        <v>#REF!</v>
      </c>
      <c r="BJ11" t="e">
        <f>AND(#REF!,"AAAAAFeP+j0=")</f>
        <v>#REF!</v>
      </c>
      <c r="BK11" t="e">
        <f>IF(#REF!,"AAAAAFeP+j4=",0)</f>
        <v>#REF!</v>
      </c>
      <c r="BL11" t="e">
        <f>AND(#REF!,"AAAAAFeP+j8=")</f>
        <v>#REF!</v>
      </c>
      <c r="BM11" t="e">
        <f>AND(#REF!,"AAAAAFeP+kA=")</f>
        <v>#REF!</v>
      </c>
      <c r="BN11" t="e">
        <f>AND(#REF!,"AAAAAFeP+kE=")</f>
        <v>#REF!</v>
      </c>
      <c r="BO11" t="e">
        <f>IF(#REF!,"AAAAAFeP+kI=",0)</f>
        <v>#REF!</v>
      </c>
      <c r="BP11" t="e">
        <f>AND(#REF!,"AAAAAFeP+kM=")</f>
        <v>#REF!</v>
      </c>
      <c r="BQ11" t="e">
        <f>AND(#REF!,"AAAAAFeP+kQ=")</f>
        <v>#REF!</v>
      </c>
      <c r="BR11" t="e">
        <f>AND(#REF!,"AAAAAFeP+kU=")</f>
        <v>#REF!</v>
      </c>
      <c r="BS11" t="e">
        <f>IF(#REF!,"AAAAAFeP+kY=",0)</f>
        <v>#REF!</v>
      </c>
      <c r="BT11" t="e">
        <f>AND(#REF!,"AAAAAFeP+kc=")</f>
        <v>#REF!</v>
      </c>
      <c r="BU11" t="e">
        <f>AND(#REF!,"AAAAAFeP+kg=")</f>
        <v>#REF!</v>
      </c>
      <c r="BV11" t="e">
        <f>AND(#REF!,"AAAAAFeP+kk=")</f>
        <v>#REF!</v>
      </c>
      <c r="BW11" t="e">
        <f>IF(#REF!,"AAAAAFeP+ko=",0)</f>
        <v>#REF!</v>
      </c>
      <c r="BX11" t="e">
        <f>AND(#REF!,"AAAAAFeP+ks=")</f>
        <v>#REF!</v>
      </c>
      <c r="BY11" t="e">
        <f>AND(#REF!,"AAAAAFeP+kw=")</f>
        <v>#REF!</v>
      </c>
      <c r="BZ11" t="e">
        <f>AND(#REF!,"AAAAAFeP+k0=")</f>
        <v>#REF!</v>
      </c>
      <c r="CA11" t="e">
        <f>IF(#REF!,"AAAAAFeP+k4=",0)</f>
        <v>#REF!</v>
      </c>
      <c r="CB11" t="e">
        <f>AND(#REF!,"AAAAAFeP+k8=")</f>
        <v>#REF!</v>
      </c>
      <c r="CC11" t="e">
        <f>AND(#REF!,"AAAAAFeP+lA=")</f>
        <v>#REF!</v>
      </c>
      <c r="CD11" t="e">
        <f>AND(#REF!,"AAAAAFeP+lE=")</f>
        <v>#REF!</v>
      </c>
      <c r="CE11" t="e">
        <f>IF(#REF!,"AAAAAFeP+lI=",0)</f>
        <v>#REF!</v>
      </c>
      <c r="CF11" t="e">
        <f>AND(#REF!,"AAAAAFeP+lM=")</f>
        <v>#REF!</v>
      </c>
      <c r="CG11" t="e">
        <f>AND(#REF!,"AAAAAFeP+lQ=")</f>
        <v>#REF!</v>
      </c>
      <c r="CH11" t="e">
        <f>AND(#REF!,"AAAAAFeP+lU=")</f>
        <v>#REF!</v>
      </c>
      <c r="CI11" t="e">
        <f>IF(#REF!,"AAAAAFeP+lY=",0)</f>
        <v>#REF!</v>
      </c>
      <c r="CJ11" t="e">
        <f>AND(#REF!,"AAAAAFeP+lc=")</f>
        <v>#REF!</v>
      </c>
      <c r="CK11" t="e">
        <f>AND(#REF!,"AAAAAFeP+lg=")</f>
        <v>#REF!</v>
      </c>
      <c r="CL11" t="e">
        <f>AND(#REF!,"AAAAAFeP+lk=")</f>
        <v>#REF!</v>
      </c>
      <c r="CM11" t="e">
        <f>IF(#REF!,"AAAAAFeP+lo=",0)</f>
        <v>#REF!</v>
      </c>
      <c r="CN11" t="e">
        <f>AND(#REF!,"AAAAAFeP+ls=")</f>
        <v>#REF!</v>
      </c>
      <c r="CO11" t="e">
        <f>AND(#REF!,"AAAAAFeP+lw=")</f>
        <v>#REF!</v>
      </c>
      <c r="CP11" t="e">
        <f>AND(#REF!,"AAAAAFeP+l0=")</f>
        <v>#REF!</v>
      </c>
      <c r="CQ11" t="e">
        <f>IF(#REF!,"AAAAAFeP+l4=",0)</f>
        <v>#REF!</v>
      </c>
      <c r="CR11" t="e">
        <f>AND(#REF!,"AAAAAFeP+l8=")</f>
        <v>#REF!</v>
      </c>
      <c r="CS11" t="e">
        <f>AND(#REF!,"AAAAAFeP+mA=")</f>
        <v>#REF!</v>
      </c>
      <c r="CT11" t="e">
        <f>AND(#REF!,"AAAAAFeP+mE=")</f>
        <v>#REF!</v>
      </c>
      <c r="CU11" t="e">
        <f>IF(#REF!,"AAAAAFeP+mI=",0)</f>
        <v>#REF!</v>
      </c>
      <c r="CV11" t="e">
        <f>AND(#REF!,"AAAAAFeP+mM=")</f>
        <v>#REF!</v>
      </c>
      <c r="CW11" t="e">
        <f>AND(#REF!,"AAAAAFeP+mQ=")</f>
        <v>#REF!</v>
      </c>
      <c r="CX11" t="e">
        <f>AND(#REF!,"AAAAAFeP+mU=")</f>
        <v>#REF!</v>
      </c>
      <c r="CY11" t="e">
        <f>IF(#REF!,"AAAAAFeP+mY=",0)</f>
        <v>#REF!</v>
      </c>
      <c r="CZ11" t="e">
        <f>AND(#REF!,"AAAAAFeP+mc=")</f>
        <v>#REF!</v>
      </c>
      <c r="DA11" t="e">
        <f>AND(#REF!,"AAAAAFeP+mg=")</f>
        <v>#REF!</v>
      </c>
      <c r="DB11" t="e">
        <f>AND(#REF!,"AAAAAFeP+mk=")</f>
        <v>#REF!</v>
      </c>
      <c r="DC11" t="e">
        <f>IF(#REF!,"AAAAAFeP+mo=",0)</f>
        <v>#REF!</v>
      </c>
      <c r="DD11" t="e">
        <f>AND(#REF!,"AAAAAFeP+ms=")</f>
        <v>#REF!</v>
      </c>
      <c r="DE11" t="e">
        <f>AND(#REF!,"AAAAAFeP+mw=")</f>
        <v>#REF!</v>
      </c>
      <c r="DF11" t="e">
        <f>AND(#REF!,"AAAAAFeP+m0=")</f>
        <v>#REF!</v>
      </c>
      <c r="DG11" t="e">
        <f>IF(#REF!,"AAAAAFeP+m4=",0)</f>
        <v>#REF!</v>
      </c>
      <c r="DH11" t="e">
        <f>AND(#REF!,"AAAAAFeP+m8=")</f>
        <v>#REF!</v>
      </c>
      <c r="DI11" t="e">
        <f>AND(#REF!,"AAAAAFeP+nA=")</f>
        <v>#REF!</v>
      </c>
      <c r="DJ11" t="e">
        <f>AND(#REF!,"AAAAAFeP+nE=")</f>
        <v>#REF!</v>
      </c>
      <c r="DK11" t="e">
        <f>IF(#REF!,"AAAAAFeP+nI=",0)</f>
        <v>#REF!</v>
      </c>
      <c r="DL11" t="e">
        <f>AND(#REF!,"AAAAAFeP+nM=")</f>
        <v>#REF!</v>
      </c>
      <c r="DM11" t="e">
        <f>AND(#REF!,"AAAAAFeP+nQ=")</f>
        <v>#REF!</v>
      </c>
      <c r="DN11" t="e">
        <f>AND(#REF!,"AAAAAFeP+nU=")</f>
        <v>#REF!</v>
      </c>
      <c r="DO11" t="e">
        <f>IF(#REF!,"AAAAAFeP+nY=",0)</f>
        <v>#REF!</v>
      </c>
      <c r="DP11" t="e">
        <f>AND(#REF!,"AAAAAFeP+nc=")</f>
        <v>#REF!</v>
      </c>
      <c r="DQ11" t="e">
        <f>AND(#REF!,"AAAAAFeP+ng=")</f>
        <v>#REF!</v>
      </c>
      <c r="DR11" t="e">
        <f>AND(#REF!,"AAAAAFeP+nk=")</f>
        <v>#REF!</v>
      </c>
      <c r="DS11" t="e">
        <f>IF(#REF!,"AAAAAFeP+no=",0)</f>
        <v>#REF!</v>
      </c>
      <c r="DT11" t="e">
        <f>AND(#REF!,"AAAAAFeP+ns=")</f>
        <v>#REF!</v>
      </c>
      <c r="DU11" t="e">
        <f>AND(#REF!,"AAAAAFeP+nw=")</f>
        <v>#REF!</v>
      </c>
      <c r="DV11" t="e">
        <f>AND(#REF!,"AAAAAFeP+n0=")</f>
        <v>#REF!</v>
      </c>
      <c r="DW11" t="e">
        <f>IF(#REF!,"AAAAAFeP+n4=",0)</f>
        <v>#REF!</v>
      </c>
      <c r="DX11" t="e">
        <f>AND(#REF!,"AAAAAFeP+n8=")</f>
        <v>#REF!</v>
      </c>
      <c r="DY11" t="e">
        <f>AND(#REF!,"AAAAAFeP+oA=")</f>
        <v>#REF!</v>
      </c>
      <c r="DZ11" t="e">
        <f>AND(#REF!,"AAAAAFeP+oE=")</f>
        <v>#REF!</v>
      </c>
      <c r="EA11" t="e">
        <f>IF(#REF!,"AAAAAFeP+oI=",0)</f>
        <v>#REF!</v>
      </c>
      <c r="EB11" t="e">
        <f>AND(#REF!,"AAAAAFeP+oM=")</f>
        <v>#REF!</v>
      </c>
      <c r="EC11" t="e">
        <f>AND(#REF!,"AAAAAFeP+oQ=")</f>
        <v>#REF!</v>
      </c>
      <c r="ED11" t="e">
        <f>AND(#REF!,"AAAAAFeP+oU=")</f>
        <v>#REF!</v>
      </c>
      <c r="EE11" t="e">
        <f>IF(#REF!,"AAAAAFeP+oY=",0)</f>
        <v>#REF!</v>
      </c>
      <c r="EF11" t="e">
        <f>AND(#REF!,"AAAAAFeP+oc=")</f>
        <v>#REF!</v>
      </c>
      <c r="EG11" t="e">
        <f>AND(#REF!,"AAAAAFeP+og=")</f>
        <v>#REF!</v>
      </c>
      <c r="EH11" t="e">
        <f>AND(#REF!,"AAAAAFeP+ok=")</f>
        <v>#REF!</v>
      </c>
      <c r="EI11" t="e">
        <f>IF(#REF!,"AAAAAFeP+oo=",0)</f>
        <v>#REF!</v>
      </c>
      <c r="EJ11" t="e">
        <f>AND(#REF!,"AAAAAFeP+os=")</f>
        <v>#REF!</v>
      </c>
      <c r="EK11" t="e">
        <f>AND(#REF!,"AAAAAFeP+ow=")</f>
        <v>#REF!</v>
      </c>
      <c r="EL11" t="e">
        <f>AND(#REF!,"AAAAAFeP+o0=")</f>
        <v>#REF!</v>
      </c>
      <c r="EM11" t="e">
        <f>IF(#REF!,"AAAAAFeP+o4=",0)</f>
        <v>#REF!</v>
      </c>
      <c r="EN11" t="e">
        <f>AND(#REF!,"AAAAAFeP+o8=")</f>
        <v>#REF!</v>
      </c>
      <c r="EO11" t="e">
        <f>AND(#REF!,"AAAAAFeP+pA=")</f>
        <v>#REF!</v>
      </c>
      <c r="EP11" t="e">
        <f>AND(#REF!,"AAAAAFeP+pE=")</f>
        <v>#REF!</v>
      </c>
      <c r="EQ11" t="e">
        <f>IF(#REF!,"AAAAAFeP+pI=",0)</f>
        <v>#REF!</v>
      </c>
      <c r="ER11" t="e">
        <f>AND(#REF!,"AAAAAFeP+pM=")</f>
        <v>#REF!</v>
      </c>
      <c r="ES11" t="e">
        <f>AND(#REF!,"AAAAAFeP+pQ=")</f>
        <v>#REF!</v>
      </c>
      <c r="ET11" t="e">
        <f>AND(#REF!,"AAAAAFeP+pU=")</f>
        <v>#REF!</v>
      </c>
      <c r="EU11" t="e">
        <f>IF(#REF!,"AAAAAFeP+pY=",0)</f>
        <v>#REF!</v>
      </c>
      <c r="EV11" t="e">
        <f>AND(#REF!,"AAAAAFeP+pc=")</f>
        <v>#REF!</v>
      </c>
      <c r="EW11" t="e">
        <f>AND(#REF!,"AAAAAFeP+pg=")</f>
        <v>#REF!</v>
      </c>
      <c r="EX11" t="e">
        <f>AND(#REF!,"AAAAAFeP+pk=")</f>
        <v>#REF!</v>
      </c>
      <c r="EY11" t="e">
        <f>IF(#REF!,"AAAAAFeP+po=",0)</f>
        <v>#REF!</v>
      </c>
      <c r="EZ11" t="e">
        <f>AND(#REF!,"AAAAAFeP+ps=")</f>
        <v>#REF!</v>
      </c>
      <c r="FA11" t="e">
        <f>AND(#REF!,"AAAAAFeP+pw=")</f>
        <v>#REF!</v>
      </c>
      <c r="FB11" t="e">
        <f>AND(#REF!,"AAAAAFeP+p0=")</f>
        <v>#REF!</v>
      </c>
      <c r="FC11" t="e">
        <f>IF(#REF!,"AAAAAFeP+p4=",0)</f>
        <v>#REF!</v>
      </c>
      <c r="FD11" t="e">
        <f>AND(#REF!,"AAAAAFeP+p8=")</f>
        <v>#REF!</v>
      </c>
      <c r="FE11" t="e">
        <f>AND(#REF!,"AAAAAFeP+qA=")</f>
        <v>#REF!</v>
      </c>
      <c r="FF11" t="e">
        <f>AND(#REF!,"AAAAAFeP+qE=")</f>
        <v>#REF!</v>
      </c>
      <c r="FG11" t="e">
        <f>IF(#REF!,"AAAAAFeP+qI=",0)</f>
        <v>#REF!</v>
      </c>
      <c r="FH11" t="e">
        <f>AND(#REF!,"AAAAAFeP+qM=")</f>
        <v>#REF!</v>
      </c>
      <c r="FI11" t="e">
        <f>AND(#REF!,"AAAAAFeP+qQ=")</f>
        <v>#REF!</v>
      </c>
      <c r="FJ11" t="e">
        <f>AND(#REF!,"AAAAAFeP+qU=")</f>
        <v>#REF!</v>
      </c>
      <c r="FK11" t="e">
        <f>IF(#REF!,"AAAAAFeP+qY=",0)</f>
        <v>#REF!</v>
      </c>
      <c r="FL11" t="e">
        <f>AND(#REF!,"AAAAAFeP+qc=")</f>
        <v>#REF!</v>
      </c>
      <c r="FM11" t="e">
        <f>AND(#REF!,"AAAAAFeP+qg=")</f>
        <v>#REF!</v>
      </c>
      <c r="FN11" t="e">
        <f>AND(#REF!,"AAAAAFeP+qk=")</f>
        <v>#REF!</v>
      </c>
      <c r="FO11" t="e">
        <f>IF(#REF!,"AAAAAFeP+qo=",0)</f>
        <v>#REF!</v>
      </c>
      <c r="FP11" t="e">
        <f>AND(#REF!,"AAAAAFeP+qs=")</f>
        <v>#REF!</v>
      </c>
      <c r="FQ11" t="e">
        <f>AND(#REF!,"AAAAAFeP+qw=")</f>
        <v>#REF!</v>
      </c>
      <c r="FR11" t="e">
        <f>AND(#REF!,"AAAAAFeP+q0=")</f>
        <v>#REF!</v>
      </c>
      <c r="FS11" t="e">
        <f>IF(#REF!,"AAAAAFeP+q4=",0)</f>
        <v>#REF!</v>
      </c>
      <c r="FT11" t="e">
        <f>AND(#REF!,"AAAAAFeP+q8=")</f>
        <v>#REF!</v>
      </c>
      <c r="FU11" t="e">
        <f>AND(#REF!,"AAAAAFeP+rA=")</f>
        <v>#REF!</v>
      </c>
      <c r="FV11" t="e">
        <f>AND(#REF!,"AAAAAFeP+rE=")</f>
        <v>#REF!</v>
      </c>
      <c r="FW11" t="e">
        <f>IF(#REF!,"AAAAAFeP+rI=",0)</f>
        <v>#REF!</v>
      </c>
      <c r="FX11" t="e">
        <f>IF(#REF!,"AAAAAFeP+rM=",0)</f>
        <v>#REF!</v>
      </c>
      <c r="FY11" t="e">
        <f>IF(#REF!,"AAAAAFeP+rQ=",0)</f>
        <v>#REF!</v>
      </c>
      <c r="FZ11" t="e">
        <f>IF(#REF!,"AAAAAFeP+rU=",0)</f>
        <v>#REF!</v>
      </c>
      <c r="GA11" t="e">
        <f>AND(#REF!,"AAAAAFeP+rY=")</f>
        <v>#REF!</v>
      </c>
      <c r="GB11" t="e">
        <f>AND(#REF!,"AAAAAFeP+rc=")</f>
        <v>#REF!</v>
      </c>
      <c r="GC11" t="e">
        <f>AND(#REF!,"AAAAAFeP+rg=")</f>
        <v>#REF!</v>
      </c>
      <c r="GD11" t="e">
        <f>AND(#REF!,"AAAAAFeP+rk=")</f>
        <v>#REF!</v>
      </c>
      <c r="GE11" t="e">
        <f>AND(#REF!,"AAAAAFeP+ro=")</f>
        <v>#REF!</v>
      </c>
      <c r="GF11" t="e">
        <f>IF(#REF!,"AAAAAFeP+rs=",0)</f>
        <v>#REF!</v>
      </c>
      <c r="GG11" t="e">
        <f>AND(#REF!,"AAAAAFeP+rw=")</f>
        <v>#REF!</v>
      </c>
      <c r="GH11" t="e">
        <f>AND(#REF!,"AAAAAFeP+r0=")</f>
        <v>#REF!</v>
      </c>
      <c r="GI11" t="e">
        <f>AND(#REF!,"AAAAAFeP+r4=")</f>
        <v>#REF!</v>
      </c>
      <c r="GJ11" t="e">
        <f>AND(#REF!,"AAAAAFeP+r8=")</f>
        <v>#REF!</v>
      </c>
      <c r="GK11" t="e">
        <f>AND(#REF!,"AAAAAFeP+sA=")</f>
        <v>#REF!</v>
      </c>
      <c r="GL11" t="e">
        <f>IF(#REF!,"AAAAAFeP+sE=",0)</f>
        <v>#REF!</v>
      </c>
      <c r="GM11" t="e">
        <f>AND(#REF!,"AAAAAFeP+sI=")</f>
        <v>#REF!</v>
      </c>
      <c r="GN11" t="e">
        <f>AND(#REF!,"AAAAAFeP+sM=")</f>
        <v>#REF!</v>
      </c>
      <c r="GO11" t="e">
        <f>AND(#REF!,"AAAAAFeP+sQ=")</f>
        <v>#REF!</v>
      </c>
      <c r="GP11" t="e">
        <f>AND(#REF!,"AAAAAFeP+sU=")</f>
        <v>#REF!</v>
      </c>
      <c r="GQ11" t="e">
        <f>AND(#REF!,"AAAAAFeP+sY=")</f>
        <v>#REF!</v>
      </c>
      <c r="GR11" t="e">
        <f>IF(#REF!,"AAAAAFeP+sc=",0)</f>
        <v>#REF!</v>
      </c>
      <c r="GS11" t="e">
        <f>AND(#REF!,"AAAAAFeP+sg=")</f>
        <v>#REF!</v>
      </c>
      <c r="GT11" t="e">
        <f>AND(#REF!,"AAAAAFeP+sk=")</f>
        <v>#REF!</v>
      </c>
      <c r="GU11" t="e">
        <f>AND(#REF!,"AAAAAFeP+so=")</f>
        <v>#REF!</v>
      </c>
      <c r="GV11" t="e">
        <f>AND(#REF!,"AAAAAFeP+ss=")</f>
        <v>#REF!</v>
      </c>
      <c r="GW11" t="e">
        <f>AND(#REF!,"AAAAAFeP+sw=")</f>
        <v>#REF!</v>
      </c>
      <c r="GX11" t="e">
        <f>IF(#REF!,"AAAAAFeP+s0=",0)</f>
        <v>#REF!</v>
      </c>
      <c r="GY11" t="e">
        <f>AND(#REF!,"AAAAAFeP+s4=")</f>
        <v>#REF!</v>
      </c>
      <c r="GZ11" t="e">
        <f>AND(#REF!,"AAAAAFeP+s8=")</f>
        <v>#REF!</v>
      </c>
      <c r="HA11" t="e">
        <f>AND(#REF!,"AAAAAFeP+tA=")</f>
        <v>#REF!</v>
      </c>
      <c r="HB11" t="e">
        <f>AND(#REF!,"AAAAAFeP+tE=")</f>
        <v>#REF!</v>
      </c>
      <c r="HC11" t="e">
        <f>AND(#REF!,"AAAAAFeP+tI=")</f>
        <v>#REF!</v>
      </c>
      <c r="HD11" t="e">
        <f>IF(#REF!,"AAAAAFeP+tM=",0)</f>
        <v>#REF!</v>
      </c>
      <c r="HE11" t="e">
        <f>AND(#REF!,"AAAAAFeP+tQ=")</f>
        <v>#REF!</v>
      </c>
      <c r="HF11" t="e">
        <f>IF(#REF!,"AAAAAFeP+tU=",0)</f>
        <v>#REF!</v>
      </c>
      <c r="HG11" t="e">
        <f>IF(#REF!,"AAAAAFeP+tY=",0)</f>
        <v>#REF!</v>
      </c>
      <c r="HH11" t="e">
        <f>IF(#REF!,"AAAAAFeP+tc=",0)</f>
        <v>#REF!</v>
      </c>
      <c r="HI11" t="e">
        <f>IF(#REF!,"AAAAAFeP+tg=",0)</f>
        <v>#REF!</v>
      </c>
      <c r="HJ11" t="e">
        <f>IF(#REF!,"AAAAAFeP+tk=",0)</f>
        <v>#REF!</v>
      </c>
      <c r="HK11" t="e">
        <f>IF(#REF!,"AAAAAFeP+to=",0)</f>
        <v>#REF!</v>
      </c>
      <c r="HL11" t="e">
        <f>AND(#REF!,"AAAAAFeP+ts=")</f>
        <v>#REF!</v>
      </c>
      <c r="HM11" t="e">
        <f>AND(#REF!,"AAAAAFeP+tw=")</f>
        <v>#REF!</v>
      </c>
      <c r="HN11" t="e">
        <f>AND(#REF!,"AAAAAFeP+t0=")</f>
        <v>#REF!</v>
      </c>
      <c r="HO11" t="e">
        <f>AND(#REF!,"AAAAAFeP+t4=")</f>
        <v>#REF!</v>
      </c>
      <c r="HP11" t="e">
        <f>IF(#REF!,"AAAAAFeP+t8=",0)</f>
        <v>#REF!</v>
      </c>
      <c r="HQ11" t="e">
        <f>AND(#REF!,"AAAAAFeP+uA=")</f>
        <v>#REF!</v>
      </c>
      <c r="HR11" t="e">
        <f>AND(#REF!,"AAAAAFeP+uE=")</f>
        <v>#REF!</v>
      </c>
      <c r="HS11" t="e">
        <f>AND(#REF!,"AAAAAFeP+uI=")</f>
        <v>#REF!</v>
      </c>
      <c r="HT11" t="e">
        <f>AND(#REF!,"AAAAAFeP+uM=")</f>
        <v>#REF!</v>
      </c>
      <c r="HU11" t="e">
        <f>IF(#REF!,"AAAAAFeP+uQ=",0)</f>
        <v>#REF!</v>
      </c>
      <c r="HV11" t="e">
        <f>AND(#REF!,"AAAAAFeP+uU=")</f>
        <v>#REF!</v>
      </c>
      <c r="HW11" t="e">
        <f>AND(#REF!,"AAAAAFeP+uY=")</f>
        <v>#REF!</v>
      </c>
      <c r="HX11" t="e">
        <f>AND(#REF!,"AAAAAFeP+uc=")</f>
        <v>#REF!</v>
      </c>
      <c r="HY11" t="e">
        <f>AND(#REF!,"AAAAAFeP+ug=")</f>
        <v>#REF!</v>
      </c>
      <c r="HZ11" t="e">
        <f>IF(#REF!,"AAAAAFeP+uk=",0)</f>
        <v>#REF!</v>
      </c>
      <c r="IA11" t="e">
        <f>AND(#REF!,"AAAAAFeP+uo=")</f>
        <v>#REF!</v>
      </c>
      <c r="IB11" t="e">
        <f>AND(#REF!,"AAAAAFeP+us=")</f>
        <v>#REF!</v>
      </c>
      <c r="IC11" t="e">
        <f>AND(#REF!,"AAAAAFeP+uw=")</f>
        <v>#REF!</v>
      </c>
      <c r="ID11" t="e">
        <f>AND(#REF!,"AAAAAFeP+u0=")</f>
        <v>#REF!</v>
      </c>
      <c r="IE11" t="e">
        <f>IF(#REF!,"AAAAAFeP+u4=",0)</f>
        <v>#REF!</v>
      </c>
      <c r="IF11" t="e">
        <f>AND(#REF!,"AAAAAFeP+u8=")</f>
        <v>#REF!</v>
      </c>
      <c r="IG11" t="e">
        <f>AND(#REF!,"AAAAAFeP+vA=")</f>
        <v>#REF!</v>
      </c>
      <c r="IH11" t="e">
        <f>AND(#REF!,"AAAAAFeP+vE=")</f>
        <v>#REF!</v>
      </c>
      <c r="II11" t="e">
        <f>AND(#REF!,"AAAAAFeP+vI=")</f>
        <v>#REF!</v>
      </c>
      <c r="IJ11" t="e">
        <f>IF(#REF!,"AAAAAFeP+vM=",0)</f>
        <v>#REF!</v>
      </c>
      <c r="IK11" t="e">
        <f>AND(#REF!,"AAAAAFeP+vQ=")</f>
        <v>#REF!</v>
      </c>
      <c r="IL11" t="e">
        <f>AND(#REF!,"AAAAAFeP+vU=")</f>
        <v>#REF!</v>
      </c>
      <c r="IM11" t="e">
        <f>AND(#REF!,"AAAAAFeP+vY=")</f>
        <v>#REF!</v>
      </c>
      <c r="IN11" t="e">
        <f>AND(#REF!,"AAAAAFeP+vc=")</f>
        <v>#REF!</v>
      </c>
      <c r="IO11" t="e">
        <f>IF(#REF!,"AAAAAFeP+vg=",0)</f>
        <v>#REF!</v>
      </c>
      <c r="IP11" t="e">
        <f>AND(#REF!,"AAAAAFeP+vk=")</f>
        <v>#REF!</v>
      </c>
      <c r="IQ11" t="e">
        <f>AND(#REF!,"AAAAAFeP+vo=")</f>
        <v>#REF!</v>
      </c>
      <c r="IR11" t="e">
        <f>AND(#REF!,"AAAAAFeP+vs=")</f>
        <v>#REF!</v>
      </c>
      <c r="IS11" t="e">
        <f>AND(#REF!,"AAAAAFeP+vw=")</f>
        <v>#REF!</v>
      </c>
      <c r="IT11" t="e">
        <f>IF(#REF!,"AAAAAFeP+v0=",0)</f>
        <v>#REF!</v>
      </c>
      <c r="IU11" t="e">
        <f>AND(#REF!,"AAAAAFeP+v4=")</f>
        <v>#REF!</v>
      </c>
      <c r="IV11" t="e">
        <f>AND(#REF!,"AAAAAFeP+v8=")</f>
        <v>#REF!</v>
      </c>
    </row>
    <row r="12" spans="1:256">
      <c r="A12" t="e">
        <f>AND(#REF!,"AAAAAHu9dAA=")</f>
        <v>#REF!</v>
      </c>
      <c r="B12" t="e">
        <f>AND(#REF!,"AAAAAHu9dAE=")</f>
        <v>#REF!</v>
      </c>
      <c r="C12" t="e">
        <f>IF(#REF!,"AAAAAHu9dAI=",0)</f>
        <v>#REF!</v>
      </c>
      <c r="D12" t="e">
        <f>AND(#REF!,"AAAAAHu9dAM=")</f>
        <v>#REF!</v>
      </c>
      <c r="E12" t="e">
        <f>AND(#REF!,"AAAAAHu9dAQ=")</f>
        <v>#REF!</v>
      </c>
      <c r="F12" t="e">
        <f>AND(#REF!,"AAAAAHu9dAU=")</f>
        <v>#REF!</v>
      </c>
      <c r="G12" t="e">
        <f>AND(#REF!,"AAAAAHu9dAY=")</f>
        <v>#REF!</v>
      </c>
      <c r="H12" t="e">
        <f>IF(#REF!,"AAAAAHu9dAc=",0)</f>
        <v>#REF!</v>
      </c>
      <c r="I12" t="e">
        <f>AND(#REF!,"AAAAAHu9dAg=")</f>
        <v>#REF!</v>
      </c>
      <c r="J12" t="e">
        <f>AND(#REF!,"AAAAAHu9dAk=")</f>
        <v>#REF!</v>
      </c>
      <c r="K12" t="e">
        <f>AND(#REF!,"AAAAAHu9dAo=")</f>
        <v>#REF!</v>
      </c>
      <c r="L12" t="e">
        <f>AND(#REF!,"AAAAAHu9dAs=")</f>
        <v>#REF!</v>
      </c>
      <c r="M12" t="e">
        <f>IF(#REF!,"AAAAAHu9dAw=",0)</f>
        <v>#REF!</v>
      </c>
      <c r="N12" t="e">
        <f>AND(#REF!,"AAAAAHu9dA0=")</f>
        <v>#REF!</v>
      </c>
      <c r="O12" t="e">
        <f>IF(#REF!,"AAAAAHu9dA4=",0)</f>
        <v>#REF!</v>
      </c>
      <c r="P12" t="e">
        <f>AND(#REF!,"AAAAAHu9dA8=")</f>
        <v>#REF!</v>
      </c>
      <c r="Q12" t="e">
        <f>IF(#REF!,"AAAAAHu9dBA=",0)</f>
        <v>#REF!</v>
      </c>
      <c r="R12" t="e">
        <f>IF(#REF!,"AAAAAHu9dBE=",0)</f>
        <v>#REF!</v>
      </c>
      <c r="S12" t="e">
        <f>IF(#REF!,"AAAAAHu9dBI=",0)</f>
        <v>#REF!</v>
      </c>
      <c r="T12" t="e">
        <f>IF(#REF!,"AAAAAHu9dBM=",0)</f>
        <v>#REF!</v>
      </c>
      <c r="U12" t="e">
        <f>IF(#REF!,"AAAAAHu9dBQ=",0)</f>
        <v>#REF!</v>
      </c>
      <c r="V12" t="e">
        <f>AND(#REF!,"AAAAAHu9dBU=")</f>
        <v>#REF!</v>
      </c>
      <c r="W12" t="e">
        <f>AND(#REF!,"AAAAAHu9dBY=")</f>
        <v>#REF!</v>
      </c>
      <c r="X12" t="e">
        <f>AND(#REF!,"AAAAAHu9dBc=")</f>
        <v>#REF!</v>
      </c>
      <c r="Y12" t="e">
        <f>IF(#REF!,"AAAAAHu9dBg=",0)</f>
        <v>#REF!</v>
      </c>
      <c r="Z12" t="e">
        <f>AND(#REF!,"AAAAAHu9dBk=")</f>
        <v>#REF!</v>
      </c>
      <c r="AA12" t="e">
        <f>AND(#REF!,"AAAAAHu9dBo=")</f>
        <v>#REF!</v>
      </c>
      <c r="AB12" t="e">
        <f>AND(#REF!,"AAAAAHu9dBs=")</f>
        <v>#REF!</v>
      </c>
      <c r="AC12" t="e">
        <f>IF(#REF!,"AAAAAHu9dBw=",0)</f>
        <v>#REF!</v>
      </c>
      <c r="AD12" t="e">
        <f>AND(#REF!,"AAAAAHu9dB0=")</f>
        <v>#REF!</v>
      </c>
      <c r="AE12" t="e">
        <f>AND(#REF!,"AAAAAHu9dB4=")</f>
        <v>#REF!</v>
      </c>
      <c r="AF12" t="e">
        <f>AND(#REF!,"AAAAAHu9dB8=")</f>
        <v>#REF!</v>
      </c>
      <c r="AG12" t="e">
        <f>IF(#REF!,"AAAAAHu9dCA=",0)</f>
        <v>#REF!</v>
      </c>
      <c r="AH12" t="e">
        <f>AND(#REF!,"AAAAAHu9dCE=")</f>
        <v>#REF!</v>
      </c>
      <c r="AI12" t="e">
        <f>AND(#REF!,"AAAAAHu9dCI=")</f>
        <v>#REF!</v>
      </c>
      <c r="AJ12" t="e">
        <f>AND(#REF!,"AAAAAHu9dCM=")</f>
        <v>#REF!</v>
      </c>
      <c r="AK12" t="e">
        <f>IF(#REF!,"AAAAAHu9dCQ=",0)</f>
        <v>#REF!</v>
      </c>
      <c r="AL12" t="e">
        <f>AND(#REF!,"AAAAAHu9dCU=")</f>
        <v>#REF!</v>
      </c>
      <c r="AM12" t="e">
        <f>AND(#REF!,"AAAAAHu9dCY=")</f>
        <v>#REF!</v>
      </c>
      <c r="AN12" t="e">
        <f>AND(#REF!,"AAAAAHu9dCc=")</f>
        <v>#REF!</v>
      </c>
      <c r="AO12" t="e">
        <f>IF(#REF!,"AAAAAHu9dCg=",0)</f>
        <v>#REF!</v>
      </c>
      <c r="AP12" t="e">
        <f>AND(#REF!,"AAAAAHu9dCk=")</f>
        <v>#REF!</v>
      </c>
      <c r="AQ12" t="e">
        <f>AND(#REF!,"AAAAAHu9dCo=")</f>
        <v>#REF!</v>
      </c>
      <c r="AR12" t="e">
        <f>AND(#REF!,"AAAAAHu9dCs=")</f>
        <v>#REF!</v>
      </c>
      <c r="AS12" t="e">
        <f>IF(#REF!,"AAAAAHu9dCw=",0)</f>
        <v>#REF!</v>
      </c>
      <c r="AT12" t="e">
        <f>AND(#REF!,"AAAAAHu9dC0=")</f>
        <v>#REF!</v>
      </c>
      <c r="AU12" t="e">
        <f>AND(#REF!,"AAAAAHu9dC4=")</f>
        <v>#REF!</v>
      </c>
      <c r="AV12" t="e">
        <f>AND(#REF!,"AAAAAHu9dC8=")</f>
        <v>#REF!</v>
      </c>
      <c r="AW12" t="e">
        <f>IF(#REF!,"AAAAAHu9dDA=",0)</f>
        <v>#REF!</v>
      </c>
      <c r="AX12" t="e">
        <f>AND(#REF!,"AAAAAHu9dDE=")</f>
        <v>#REF!</v>
      </c>
      <c r="AY12" t="e">
        <f>AND(#REF!,"AAAAAHu9dDI=")</f>
        <v>#REF!</v>
      </c>
      <c r="AZ12" t="e">
        <f>AND(#REF!,"AAAAAHu9dDM=")</f>
        <v>#REF!</v>
      </c>
      <c r="BA12" t="e">
        <f>IF(#REF!,"AAAAAHu9dDQ=",0)</f>
        <v>#REF!</v>
      </c>
      <c r="BB12" t="e">
        <f>AND(#REF!,"AAAAAHu9dDU=")</f>
        <v>#REF!</v>
      </c>
      <c r="BC12" t="e">
        <f>AND(#REF!,"AAAAAHu9dDY=")</f>
        <v>#REF!</v>
      </c>
      <c r="BD12" t="e">
        <f>AND(#REF!,"AAAAAHu9dDc=")</f>
        <v>#REF!</v>
      </c>
      <c r="BE12" t="e">
        <f>IF(#REF!,"AAAAAHu9dDg=",0)</f>
        <v>#REF!</v>
      </c>
      <c r="BF12" t="e">
        <f>AND(#REF!,"AAAAAHu9dDk=")</f>
        <v>#REF!</v>
      </c>
      <c r="BG12" t="e">
        <f>AND(#REF!,"AAAAAHu9dDo=")</f>
        <v>#REF!</v>
      </c>
      <c r="BH12" t="e">
        <f>AND(#REF!,"AAAAAHu9dDs=")</f>
        <v>#REF!</v>
      </c>
      <c r="BI12" t="e">
        <f>IF(#REF!,"AAAAAHu9dDw=",0)</f>
        <v>#REF!</v>
      </c>
      <c r="BJ12" t="e">
        <f>IF(#REF!,"AAAAAHu9dD0=",0)</f>
        <v>#REF!</v>
      </c>
      <c r="BK12" t="e">
        <f>IF(#REF!,"AAAAAHu9dD4=",0)</f>
        <v>#REF!</v>
      </c>
      <c r="BL12" t="e">
        <f>IF(#REF!,"AAAAAHu9dD8=",0)</f>
        <v>#REF!</v>
      </c>
      <c r="BM12" t="e">
        <f>AND(#REF!,"AAAAAHu9dEA=")</f>
        <v>#REF!</v>
      </c>
      <c r="BN12" t="e">
        <f>AND(#REF!,"AAAAAHu9dEE=")</f>
        <v>#REF!</v>
      </c>
      <c r="BO12" t="e">
        <f>AND(#REF!,"AAAAAHu9dEI=")</f>
        <v>#REF!</v>
      </c>
      <c r="BP12" t="e">
        <f>AND(#REF!,"AAAAAHu9dEM=")</f>
        <v>#REF!</v>
      </c>
      <c r="BQ12" t="e">
        <f>AND(#REF!,"AAAAAHu9dEQ=")</f>
        <v>#REF!</v>
      </c>
      <c r="BR12" t="e">
        <f>IF(#REF!,"AAAAAHu9dEU=",0)</f>
        <v>#REF!</v>
      </c>
      <c r="BS12" t="e">
        <f>AND(#REF!,"AAAAAHu9dEY=")</f>
        <v>#REF!</v>
      </c>
      <c r="BT12" t="e">
        <f>AND(#REF!,"AAAAAHu9dEc=")</f>
        <v>#REF!</v>
      </c>
      <c r="BU12" t="e">
        <f>AND(#REF!,"AAAAAHu9dEg=")</f>
        <v>#REF!</v>
      </c>
      <c r="BV12" t="e">
        <f>AND(#REF!,"AAAAAHu9dEk=")</f>
        <v>#REF!</v>
      </c>
      <c r="BW12" t="e">
        <f>AND(#REF!,"AAAAAHu9dEo=")</f>
        <v>#REF!</v>
      </c>
      <c r="BX12" t="e">
        <f>IF(#REF!,"AAAAAHu9dEs=",0)</f>
        <v>#REF!</v>
      </c>
      <c r="BY12" t="e">
        <f>AND(#REF!,"AAAAAHu9dEw=")</f>
        <v>#REF!</v>
      </c>
      <c r="BZ12" t="e">
        <f>AND(#REF!,"AAAAAHu9dE0=")</f>
        <v>#REF!</v>
      </c>
      <c r="CA12" t="e">
        <f>AND(#REF!,"AAAAAHu9dE4=")</f>
        <v>#REF!</v>
      </c>
      <c r="CB12" t="e">
        <f>AND(#REF!,"AAAAAHu9dE8=")</f>
        <v>#REF!</v>
      </c>
      <c r="CC12" t="e">
        <f>AND(#REF!,"AAAAAHu9dFA=")</f>
        <v>#REF!</v>
      </c>
      <c r="CD12" t="e">
        <f>IF(#REF!,"AAAAAHu9dFE=",0)</f>
        <v>#REF!</v>
      </c>
      <c r="CE12" t="e">
        <f>AND(#REF!,"AAAAAHu9dFI=")</f>
        <v>#REF!</v>
      </c>
      <c r="CF12" t="e">
        <f>AND(#REF!,"AAAAAHu9dFM=")</f>
        <v>#REF!</v>
      </c>
      <c r="CG12" t="e">
        <f>AND(#REF!,"AAAAAHu9dFQ=")</f>
        <v>#REF!</v>
      </c>
      <c r="CH12" t="e">
        <f>AND(#REF!,"AAAAAHu9dFU=")</f>
        <v>#REF!</v>
      </c>
      <c r="CI12" t="e">
        <f>AND(#REF!,"AAAAAHu9dFY=")</f>
        <v>#REF!</v>
      </c>
      <c r="CJ12" t="e">
        <f>IF(#REF!,"AAAAAHu9dFc=",0)</f>
        <v>#REF!</v>
      </c>
      <c r="CK12" t="e">
        <f>AND(#REF!,"AAAAAHu9dFg=")</f>
        <v>#REF!</v>
      </c>
      <c r="CL12" t="e">
        <f>AND(#REF!,"AAAAAHu9dFk=")</f>
        <v>#REF!</v>
      </c>
      <c r="CM12" t="e">
        <f>AND(#REF!,"AAAAAHu9dFo=")</f>
        <v>#REF!</v>
      </c>
      <c r="CN12" t="e">
        <f>AND(#REF!,"AAAAAHu9dFs=")</f>
        <v>#REF!</v>
      </c>
      <c r="CO12" t="e">
        <f>AND(#REF!,"AAAAAHu9dFw=")</f>
        <v>#REF!</v>
      </c>
      <c r="CP12" t="e">
        <f>IF(#REF!,"AAAAAHu9dF0=",0)</f>
        <v>#REF!</v>
      </c>
      <c r="CQ12" t="e">
        <f>AND(#REF!,"AAAAAHu9dF4=")</f>
        <v>#REF!</v>
      </c>
      <c r="CR12" t="e">
        <f>AND(#REF!,"AAAAAHu9dF8=")</f>
        <v>#REF!</v>
      </c>
      <c r="CS12" t="e">
        <f>AND(#REF!,"AAAAAHu9dGA=")</f>
        <v>#REF!</v>
      </c>
      <c r="CT12" t="e">
        <f>AND(#REF!,"AAAAAHu9dGE=")</f>
        <v>#REF!</v>
      </c>
      <c r="CU12" t="e">
        <f>AND(#REF!,"AAAAAHu9dGI=")</f>
        <v>#REF!</v>
      </c>
      <c r="CV12" t="e">
        <f>IF(#REF!,"AAAAAHu9dGM=",0)</f>
        <v>#REF!</v>
      </c>
      <c r="CW12" t="e">
        <f>AND(#REF!,"AAAAAHu9dGQ=")</f>
        <v>#REF!</v>
      </c>
      <c r="CX12" t="e">
        <f>AND(#REF!,"AAAAAHu9dGU=")</f>
        <v>#REF!</v>
      </c>
      <c r="CY12" t="e">
        <f>AND(#REF!,"AAAAAHu9dGY=")</f>
        <v>#REF!</v>
      </c>
      <c r="CZ12" t="e">
        <f>AND(#REF!,"AAAAAHu9dGc=")</f>
        <v>#REF!</v>
      </c>
      <c r="DA12" t="e">
        <f>AND(#REF!,"AAAAAHu9dGg=")</f>
        <v>#REF!</v>
      </c>
      <c r="DB12" t="e">
        <f>IF(#REF!,"AAAAAHu9dGk=",0)</f>
        <v>#REF!</v>
      </c>
      <c r="DC12" t="e">
        <f>AND(#REF!,"AAAAAHu9dGo=")</f>
        <v>#REF!</v>
      </c>
      <c r="DD12" t="e">
        <f>AND(#REF!,"AAAAAHu9dGs=")</f>
        <v>#REF!</v>
      </c>
      <c r="DE12" t="e">
        <f>AND(#REF!,"AAAAAHu9dGw=")</f>
        <v>#REF!</v>
      </c>
      <c r="DF12" t="e">
        <f>AND(#REF!,"AAAAAHu9dG0=")</f>
        <v>#REF!</v>
      </c>
      <c r="DG12" t="e">
        <f>AND(#REF!,"AAAAAHu9dG4=")</f>
        <v>#REF!</v>
      </c>
      <c r="DH12" t="e">
        <f>IF(#REF!,"AAAAAHu9dG8=",0)</f>
        <v>#REF!</v>
      </c>
      <c r="DI12" t="e">
        <f>AND(#REF!,"AAAAAHu9dHA=")</f>
        <v>#REF!</v>
      </c>
      <c r="DJ12" t="e">
        <f>AND(#REF!,"AAAAAHu9dHE=")</f>
        <v>#REF!</v>
      </c>
      <c r="DK12" t="e">
        <f>AND(#REF!,"AAAAAHu9dHI=")</f>
        <v>#REF!</v>
      </c>
      <c r="DL12" t="e">
        <f>AND(#REF!,"AAAAAHu9dHM=")</f>
        <v>#REF!</v>
      </c>
      <c r="DM12" t="e">
        <f>AND(#REF!,"AAAAAHu9dHQ=")</f>
        <v>#REF!</v>
      </c>
      <c r="DN12" t="e">
        <f>IF(#REF!,"AAAAAHu9dHU=",0)</f>
        <v>#REF!</v>
      </c>
      <c r="DO12" t="e">
        <f>AND(#REF!,"AAAAAHu9dHY=")</f>
        <v>#REF!</v>
      </c>
      <c r="DP12" t="e">
        <f>AND(#REF!,"AAAAAHu9dHc=")</f>
        <v>#REF!</v>
      </c>
      <c r="DQ12" t="e">
        <f>AND(#REF!,"AAAAAHu9dHg=")</f>
        <v>#REF!</v>
      </c>
      <c r="DR12" t="e">
        <f>AND(#REF!,"AAAAAHu9dHk=")</f>
        <v>#REF!</v>
      </c>
      <c r="DS12" t="e">
        <f>AND(#REF!,"AAAAAHu9dHo=")</f>
        <v>#REF!</v>
      </c>
      <c r="DT12" t="e">
        <f>IF(#REF!,"AAAAAHu9dHs=",0)</f>
        <v>#REF!</v>
      </c>
      <c r="DU12" t="e">
        <f>AND(#REF!,"AAAAAHu9dHw=")</f>
        <v>#REF!</v>
      </c>
      <c r="DV12" t="e">
        <f>AND(#REF!,"AAAAAHu9dH0=")</f>
        <v>#REF!</v>
      </c>
      <c r="DW12" t="e">
        <f>AND(#REF!,"AAAAAHu9dH4=")</f>
        <v>#REF!</v>
      </c>
      <c r="DX12" t="e">
        <f>AND(#REF!,"AAAAAHu9dH8=")</f>
        <v>#REF!</v>
      </c>
      <c r="DY12" t="e">
        <f>AND(#REF!,"AAAAAHu9dIA=")</f>
        <v>#REF!</v>
      </c>
      <c r="DZ12" t="e">
        <f>IF(#REF!,"AAAAAHu9dIE=",0)</f>
        <v>#REF!</v>
      </c>
      <c r="EA12" t="e">
        <f>AND(#REF!,"AAAAAHu9dII=")</f>
        <v>#REF!</v>
      </c>
      <c r="EB12" t="e">
        <f>AND(#REF!,"AAAAAHu9dIM=")</f>
        <v>#REF!</v>
      </c>
      <c r="EC12" t="e">
        <f>AND(#REF!,"AAAAAHu9dIQ=")</f>
        <v>#REF!</v>
      </c>
      <c r="ED12" t="e">
        <f>AND(#REF!,"AAAAAHu9dIU=")</f>
        <v>#REF!</v>
      </c>
      <c r="EE12" t="e">
        <f>AND(#REF!,"AAAAAHu9dIY=")</f>
        <v>#REF!</v>
      </c>
      <c r="EF12" t="e">
        <f>IF(#REF!,"AAAAAHu9dIc=",0)</f>
        <v>#REF!</v>
      </c>
      <c r="EG12" t="e">
        <f>AND(#REF!,"AAAAAHu9dIg=")</f>
        <v>#REF!</v>
      </c>
      <c r="EH12" t="e">
        <f>AND(#REF!,"AAAAAHu9dIk=")</f>
        <v>#REF!</v>
      </c>
      <c r="EI12" t="e">
        <f>AND(#REF!,"AAAAAHu9dIo=")</f>
        <v>#REF!</v>
      </c>
      <c r="EJ12" t="e">
        <f>AND(#REF!,"AAAAAHu9dIs=")</f>
        <v>#REF!</v>
      </c>
      <c r="EK12" t="e">
        <f>AND(#REF!,"AAAAAHu9dIw=")</f>
        <v>#REF!</v>
      </c>
      <c r="EL12" t="e">
        <f>IF(#REF!,"AAAAAHu9dI0=",0)</f>
        <v>#REF!</v>
      </c>
      <c r="EM12" t="e">
        <f>IF(#REF!,"AAAAAHu9dI4=",0)</f>
        <v>#REF!</v>
      </c>
      <c r="EN12" t="e">
        <f>IF(#REF!,"AAAAAHu9dI8=",0)</f>
        <v>#REF!</v>
      </c>
      <c r="EO12" t="e">
        <f>IF(#REF!,"AAAAAHu9dJA=",0)</f>
        <v>#REF!</v>
      </c>
      <c r="EP12" t="e">
        <f>IF(#REF!,"AAAAAHu9dJE=",0)</f>
        <v>#REF!</v>
      </c>
      <c r="EQ12" t="s">
        <v>2</v>
      </c>
    </row>
  </sheetData>
  <phoneticPr fontId="1"/>
  <pageMargins left="0.7" right="0.7" top="0.75" bottom="0.75" header="0.3" footer="0.3"/>
  <pageSetup paperSize="9" scale="93"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G16"/>
  <sheetViews>
    <sheetView tabSelected="1" view="pageBreakPreview" zoomScale="145" zoomScaleNormal="142" zoomScaleSheetLayoutView="145" workbookViewId="0">
      <selection activeCell="G3" sqref="G3"/>
    </sheetView>
  </sheetViews>
  <sheetFormatPr defaultRowHeight="13.5"/>
  <cols>
    <col min="1" max="1" width="10.5" customWidth="1"/>
    <col min="7" max="7" width="21.625" customWidth="1"/>
  </cols>
  <sheetData>
    <row r="1" spans="1:7" ht="33" customHeight="1">
      <c r="A1" s="31" t="s">
        <v>567</v>
      </c>
      <c r="B1" s="33" t="s">
        <v>275</v>
      </c>
      <c r="C1" s="33"/>
      <c r="D1" s="33"/>
      <c r="E1" s="33"/>
      <c r="F1" s="33"/>
      <c r="G1" s="33" t="s">
        <v>199</v>
      </c>
    </row>
    <row r="2" spans="1:7" ht="20.25" customHeight="1">
      <c r="A2" s="32">
        <v>1</v>
      </c>
      <c r="B2" s="34" t="s">
        <v>31</v>
      </c>
      <c r="C2" s="34"/>
      <c r="D2" s="34"/>
      <c r="E2" s="34"/>
      <c r="F2" s="34"/>
      <c r="G2" s="32"/>
    </row>
    <row r="3" spans="1:7" ht="20.25" customHeight="1">
      <c r="A3" s="32">
        <v>2</v>
      </c>
      <c r="B3" s="34" t="s">
        <v>395</v>
      </c>
      <c r="C3" s="34"/>
      <c r="D3" s="34"/>
      <c r="E3" s="34"/>
      <c r="F3" s="34"/>
      <c r="G3" s="32"/>
    </row>
    <row r="4" spans="1:7" ht="20.25" customHeight="1">
      <c r="A4" s="32">
        <v>3</v>
      </c>
      <c r="B4" s="34" t="s">
        <v>526</v>
      </c>
      <c r="C4" s="34"/>
      <c r="D4" s="34"/>
      <c r="E4" s="34"/>
      <c r="F4" s="34"/>
      <c r="G4" s="32"/>
    </row>
    <row r="5" spans="1:7" ht="20.25" customHeight="1">
      <c r="A5" s="32">
        <v>4</v>
      </c>
      <c r="B5" s="34" t="s">
        <v>188</v>
      </c>
      <c r="C5" s="34"/>
      <c r="D5" s="34"/>
      <c r="E5" s="34"/>
      <c r="F5" s="34"/>
      <c r="G5" s="32"/>
    </row>
    <row r="6" spans="1:7" ht="20.25" customHeight="1">
      <c r="A6" s="32">
        <v>5</v>
      </c>
      <c r="B6" s="34" t="s">
        <v>203</v>
      </c>
      <c r="C6" s="34"/>
      <c r="D6" s="34"/>
      <c r="E6" s="34"/>
      <c r="F6" s="34"/>
      <c r="G6" s="32"/>
    </row>
    <row r="7" spans="1:7" ht="20.25" customHeight="1">
      <c r="A7" s="32">
        <v>6</v>
      </c>
      <c r="B7" s="34" t="s">
        <v>354</v>
      </c>
      <c r="C7" s="34"/>
      <c r="D7" s="34"/>
      <c r="E7" s="34"/>
      <c r="F7" s="34"/>
      <c r="G7" s="32"/>
    </row>
    <row r="8" spans="1:7" ht="20.25" customHeight="1">
      <c r="A8" s="32">
        <v>7</v>
      </c>
      <c r="B8" s="34" t="s">
        <v>527</v>
      </c>
      <c r="C8" s="34"/>
      <c r="D8" s="34"/>
      <c r="E8" s="34"/>
      <c r="F8" s="34"/>
      <c r="G8" s="32"/>
    </row>
    <row r="9" spans="1:7" ht="20.25" customHeight="1">
      <c r="A9" s="32">
        <v>8</v>
      </c>
      <c r="B9" s="34" t="s">
        <v>568</v>
      </c>
      <c r="C9" s="34"/>
      <c r="D9" s="34"/>
      <c r="E9" s="34"/>
      <c r="F9" s="34"/>
      <c r="G9" s="32"/>
    </row>
    <row r="10" spans="1:7" ht="20.25" customHeight="1">
      <c r="A10" s="32">
        <v>9</v>
      </c>
      <c r="B10" s="34" t="s">
        <v>528</v>
      </c>
      <c r="C10" s="34"/>
      <c r="D10" s="34"/>
      <c r="E10" s="34"/>
      <c r="F10" s="34"/>
      <c r="G10" s="32"/>
    </row>
    <row r="11" spans="1:7" ht="20.25" customHeight="1">
      <c r="A11" s="32">
        <v>10</v>
      </c>
      <c r="B11" s="34" t="s">
        <v>330</v>
      </c>
      <c r="C11" s="34"/>
      <c r="D11" s="34"/>
      <c r="E11" s="34"/>
      <c r="F11" s="34"/>
      <c r="G11" s="32"/>
    </row>
    <row r="12" spans="1:7" ht="20.25" customHeight="1">
      <c r="A12" s="32">
        <v>11</v>
      </c>
      <c r="B12" s="34" t="s">
        <v>530</v>
      </c>
      <c r="C12" s="34"/>
      <c r="D12" s="34"/>
      <c r="E12" s="34"/>
      <c r="F12" s="34"/>
      <c r="G12" s="32"/>
    </row>
    <row r="13" spans="1:7" ht="20.25" customHeight="1">
      <c r="A13" s="32">
        <v>12</v>
      </c>
      <c r="B13" s="34" t="s">
        <v>368</v>
      </c>
      <c r="C13" s="34"/>
      <c r="D13" s="34"/>
      <c r="E13" s="34"/>
      <c r="F13" s="34"/>
      <c r="G13" s="32"/>
    </row>
    <row r="14" spans="1:7" ht="20.25" customHeight="1">
      <c r="A14" s="32">
        <v>13</v>
      </c>
      <c r="B14" s="34" t="s">
        <v>531</v>
      </c>
      <c r="C14" s="34"/>
      <c r="D14" s="34"/>
      <c r="E14" s="34"/>
      <c r="F14" s="34"/>
      <c r="G14" s="32"/>
    </row>
    <row r="15" spans="1:7" ht="20.25" customHeight="1">
      <c r="A15" s="32">
        <v>14</v>
      </c>
      <c r="B15" s="34" t="s">
        <v>213</v>
      </c>
      <c r="C15" s="34"/>
      <c r="D15" s="34"/>
      <c r="E15" s="34"/>
      <c r="F15" s="34"/>
      <c r="G15" s="32"/>
    </row>
    <row r="16" spans="1:7" ht="20.25" customHeight="1">
      <c r="A16" s="32">
        <v>15</v>
      </c>
      <c r="B16" s="34" t="s">
        <v>40</v>
      </c>
      <c r="C16" s="34"/>
      <c r="D16" s="34"/>
      <c r="E16" s="34"/>
      <c r="F16" s="34"/>
      <c r="G16" s="32"/>
    </row>
  </sheetData>
  <mergeCells count="16">
    <mergeCell ref="B1:F1"/>
    <mergeCell ref="B2:F2"/>
    <mergeCell ref="B3:F3"/>
    <mergeCell ref="B4:F4"/>
    <mergeCell ref="B5:F5"/>
    <mergeCell ref="B6:F6"/>
    <mergeCell ref="B7:F7"/>
    <mergeCell ref="B8:F8"/>
    <mergeCell ref="B9:F9"/>
    <mergeCell ref="B10:F10"/>
    <mergeCell ref="B11:F11"/>
    <mergeCell ref="B12:F12"/>
    <mergeCell ref="B13:F13"/>
    <mergeCell ref="B14:F14"/>
    <mergeCell ref="B15:F15"/>
    <mergeCell ref="B16:F16"/>
  </mergeCells>
  <phoneticPr fontId="1"/>
  <pageMargins left="0.7" right="0.7" top="0.75" bottom="0.75" header="0.3" footer="0.3"/>
  <pageSetup paperSize="9" fitToWidth="1" fitToHeight="1" orientation="portrait" usePrinterDefaults="1"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K35"/>
  <sheetViews>
    <sheetView showGridLines="0" view="pageBreakPreview" zoomScale="130" zoomScaleNormal="118" zoomScaleSheetLayoutView="130" workbookViewId="0">
      <selection activeCell="H6" sqref="H6"/>
    </sheetView>
  </sheetViews>
  <sheetFormatPr defaultRowHeight="13.5"/>
  <cols>
    <col min="1" max="1" width="80.875" customWidth="1"/>
    <col min="2" max="3" width="9.375" customWidth="1"/>
  </cols>
  <sheetData>
    <row r="1" spans="1:11" ht="24" customHeight="1">
      <c r="A1" s="36" t="s">
        <v>46</v>
      </c>
    </row>
    <row r="2" spans="1:11" ht="21" customHeight="1">
      <c r="A2" s="37" t="s">
        <v>31</v>
      </c>
    </row>
    <row r="3" spans="1:11" ht="16.5" customHeight="1">
      <c r="A3" s="38" t="s">
        <v>104</v>
      </c>
    </row>
    <row r="4" spans="1:11" ht="114" customHeight="1">
      <c r="A4" s="39"/>
    </row>
    <row r="5" spans="1:11" s="35" customFormat="1" ht="16.5" customHeight="1">
      <c r="A5" s="38" t="s">
        <v>106</v>
      </c>
    </row>
    <row r="6" spans="1:11" ht="221.25" customHeight="1">
      <c r="A6" s="39"/>
    </row>
    <row r="7" spans="1:11" ht="16.5" customHeight="1">
      <c r="A7" s="40" t="s">
        <v>36</v>
      </c>
    </row>
    <row r="8" spans="1:11" ht="104.25" customHeight="1">
      <c r="A8" s="39"/>
    </row>
    <row r="9" spans="1:11" ht="19.5" customHeight="1">
      <c r="A9" s="41" t="s">
        <v>485</v>
      </c>
    </row>
    <row r="15" spans="1:11">
      <c r="A15" s="1"/>
      <c r="B15" s="1"/>
      <c r="C15" s="1"/>
      <c r="D15" s="1"/>
      <c r="E15" s="1"/>
      <c r="F15" s="1"/>
      <c r="G15" s="1"/>
      <c r="H15" s="1"/>
      <c r="I15" s="1"/>
      <c r="J15" s="1"/>
      <c r="K15" s="1"/>
    </row>
    <row r="16" spans="1:11">
      <c r="A16" s="1"/>
      <c r="B16" s="1"/>
      <c r="C16" s="1"/>
      <c r="D16" s="1"/>
      <c r="E16" s="1"/>
      <c r="F16" s="1"/>
      <c r="G16" s="1"/>
      <c r="H16" s="1"/>
      <c r="I16" s="1"/>
      <c r="J16" s="1"/>
      <c r="K16" s="1"/>
    </row>
    <row r="17" spans="1:11">
      <c r="A17" s="1"/>
      <c r="B17" s="1"/>
      <c r="C17" s="1"/>
      <c r="D17" s="1"/>
      <c r="E17" s="1"/>
      <c r="F17" s="1"/>
      <c r="G17" s="1"/>
      <c r="H17" s="1"/>
      <c r="I17" s="1"/>
      <c r="J17" s="1"/>
      <c r="K17" s="1"/>
    </row>
    <row r="18" spans="1:11">
      <c r="A18" s="1"/>
      <c r="B18" s="1"/>
      <c r="C18" s="1"/>
      <c r="D18" s="1"/>
      <c r="E18" s="1"/>
      <c r="F18" s="1"/>
      <c r="G18" s="1"/>
      <c r="H18" s="1"/>
      <c r="I18" s="1"/>
      <c r="J18" s="1"/>
      <c r="K18" s="1"/>
    </row>
    <row r="19" spans="1:11">
      <c r="A19" s="1"/>
      <c r="B19" s="1"/>
      <c r="C19" s="1"/>
      <c r="D19" s="1"/>
      <c r="E19" s="1"/>
      <c r="F19" s="1"/>
      <c r="G19" s="1"/>
      <c r="H19" s="1"/>
      <c r="I19" s="1"/>
      <c r="J19" s="1"/>
      <c r="K19" s="1"/>
    </row>
    <row r="20" spans="1:11">
      <c r="A20" s="1"/>
      <c r="B20" s="1"/>
      <c r="C20" s="1"/>
      <c r="D20" s="1"/>
      <c r="E20" s="1"/>
      <c r="F20" s="1"/>
      <c r="G20" s="1"/>
      <c r="H20" s="1"/>
      <c r="I20" s="1"/>
      <c r="J20" s="1"/>
      <c r="K20" s="1"/>
    </row>
    <row r="21" spans="1:11">
      <c r="A21" s="1"/>
      <c r="B21" s="1"/>
      <c r="C21" s="1"/>
      <c r="D21" s="1"/>
      <c r="E21" s="1"/>
      <c r="F21" s="1"/>
      <c r="G21" s="1"/>
      <c r="H21" s="1"/>
      <c r="I21" s="1"/>
      <c r="J21" s="1"/>
      <c r="K21" s="1"/>
    </row>
    <row r="22" spans="1:11">
      <c r="A22" s="1"/>
      <c r="B22" s="1"/>
      <c r="C22" s="1"/>
      <c r="D22" s="1"/>
      <c r="E22" s="1"/>
      <c r="F22" s="1"/>
      <c r="G22" s="1"/>
      <c r="H22" s="1"/>
      <c r="I22" s="1"/>
      <c r="J22" s="1"/>
      <c r="K22" s="1"/>
    </row>
    <row r="23" spans="1:11">
      <c r="A23" s="1"/>
      <c r="B23" s="1"/>
      <c r="C23" s="1"/>
      <c r="D23" s="1"/>
      <c r="E23" s="1"/>
      <c r="F23" s="1"/>
      <c r="G23" s="1"/>
      <c r="H23" s="1"/>
      <c r="I23" s="1"/>
      <c r="J23" s="1"/>
      <c r="K23" s="1"/>
    </row>
    <row r="24" spans="1:11">
      <c r="A24" s="1"/>
      <c r="B24" s="1"/>
      <c r="C24" s="1"/>
      <c r="D24" s="1"/>
      <c r="E24" s="1"/>
      <c r="F24" s="1"/>
      <c r="G24" s="1"/>
      <c r="H24" s="1"/>
      <c r="I24" s="1"/>
      <c r="J24" s="1"/>
      <c r="K24" s="1"/>
    </row>
    <row r="25" spans="1:11">
      <c r="A25" s="1"/>
      <c r="B25" s="1"/>
      <c r="C25" s="1"/>
      <c r="D25" s="1"/>
      <c r="E25" s="1"/>
      <c r="F25" s="1"/>
      <c r="G25" s="1"/>
      <c r="H25" s="1"/>
      <c r="I25" s="1"/>
      <c r="J25" s="1"/>
      <c r="K25" s="1"/>
    </row>
    <row r="26" spans="1:11">
      <c r="A26" s="1"/>
      <c r="B26" s="1"/>
      <c r="C26" s="1"/>
      <c r="D26" s="1"/>
      <c r="E26" s="1"/>
      <c r="F26" s="1"/>
      <c r="G26" s="1"/>
      <c r="H26" s="1"/>
      <c r="I26" s="1"/>
      <c r="J26" s="1"/>
      <c r="K26" s="1"/>
    </row>
    <row r="27" spans="1:11">
      <c r="A27" s="1"/>
      <c r="B27" s="1"/>
      <c r="C27" s="1"/>
      <c r="D27" s="1"/>
      <c r="E27" s="1"/>
      <c r="F27" s="1"/>
      <c r="G27" s="1"/>
      <c r="H27" s="1"/>
      <c r="I27" s="1"/>
      <c r="J27" s="1"/>
      <c r="K27" s="1"/>
    </row>
    <row r="28" spans="1:11">
      <c r="A28" s="1"/>
      <c r="B28" s="1"/>
      <c r="C28" s="1"/>
      <c r="D28" s="1"/>
      <c r="E28" s="1"/>
      <c r="F28" s="1"/>
      <c r="G28" s="1"/>
      <c r="H28" s="1"/>
      <c r="I28" s="1"/>
      <c r="J28" s="1"/>
      <c r="K28" s="1"/>
    </row>
    <row r="29" spans="1:11">
      <c r="A29" s="1"/>
      <c r="B29" s="1"/>
      <c r="C29" s="1"/>
      <c r="D29" s="1"/>
      <c r="E29" s="1"/>
      <c r="F29" s="1"/>
      <c r="G29" s="1"/>
      <c r="H29" s="1"/>
      <c r="I29" s="1"/>
      <c r="J29" s="1"/>
      <c r="K29" s="1"/>
    </row>
    <row r="30" spans="1:11">
      <c r="A30" s="1"/>
      <c r="B30" s="1"/>
      <c r="C30" s="1"/>
      <c r="D30" s="1"/>
      <c r="E30" s="1"/>
      <c r="F30" s="1"/>
      <c r="G30" s="1"/>
      <c r="H30" s="1"/>
      <c r="I30" s="1"/>
      <c r="J30" s="1"/>
      <c r="K30" s="1"/>
    </row>
    <row r="31" spans="1:11">
      <c r="A31" s="1"/>
      <c r="B31" s="1"/>
      <c r="C31" s="1"/>
      <c r="D31" s="1"/>
      <c r="E31" s="1"/>
      <c r="F31" s="1"/>
      <c r="G31" s="1"/>
      <c r="H31" s="1"/>
      <c r="I31" s="1"/>
      <c r="J31" s="1"/>
      <c r="K31" s="1"/>
    </row>
    <row r="32" spans="1:11">
      <c r="A32" s="1"/>
      <c r="B32" s="1"/>
      <c r="C32" s="1"/>
      <c r="D32" s="1"/>
      <c r="E32" s="1"/>
      <c r="F32" s="1"/>
      <c r="G32" s="1"/>
      <c r="H32" s="1"/>
      <c r="I32" s="1"/>
      <c r="J32" s="1"/>
      <c r="K32" s="1"/>
    </row>
    <row r="33" spans="1:11">
      <c r="A33" s="1"/>
      <c r="B33" s="1"/>
      <c r="C33" s="1"/>
      <c r="D33" s="1"/>
      <c r="E33" s="1"/>
      <c r="F33" s="1"/>
      <c r="G33" s="1"/>
      <c r="H33" s="1"/>
      <c r="I33" s="1"/>
      <c r="J33" s="1"/>
      <c r="K33" s="1"/>
    </row>
    <row r="34" spans="1:11">
      <c r="A34" s="1"/>
      <c r="B34" s="1"/>
      <c r="C34" s="1"/>
      <c r="D34" s="1"/>
      <c r="E34" s="1"/>
      <c r="F34" s="1"/>
      <c r="G34" s="1"/>
      <c r="H34" s="1"/>
      <c r="I34" s="1"/>
      <c r="J34" s="1"/>
      <c r="K34" s="1"/>
    </row>
    <row r="35" spans="1:11">
      <c r="A35" s="1"/>
      <c r="B35" s="1"/>
      <c r="C35" s="1"/>
      <c r="D35" s="1"/>
      <c r="E35" s="1"/>
      <c r="F35" s="1"/>
      <c r="G35" s="1"/>
      <c r="H35" s="1"/>
      <c r="I35" s="1"/>
      <c r="J35" s="1"/>
      <c r="K35" s="1"/>
    </row>
  </sheetData>
  <phoneticPr fontId="1"/>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G29"/>
  <sheetViews>
    <sheetView view="pageBreakPreview" zoomScaleSheetLayoutView="100" workbookViewId="0">
      <selection activeCell="B5" sqref="B5"/>
    </sheetView>
  </sheetViews>
  <sheetFormatPr defaultRowHeight="13.5"/>
  <cols>
    <col min="1" max="1" width="12.75" customWidth="1"/>
    <col min="2" max="7" width="22.25" customWidth="1"/>
  </cols>
  <sheetData>
    <row r="1" spans="1:7" ht="23.25" customHeight="1">
      <c r="A1" s="36" t="s">
        <v>529</v>
      </c>
    </row>
    <row r="2" spans="1:7" s="42" customFormat="1" ht="23.25" customHeight="1">
      <c r="A2" s="43" t="s">
        <v>98</v>
      </c>
      <c r="B2" s="43" t="s">
        <v>102</v>
      </c>
      <c r="C2" s="43" t="s">
        <v>70</v>
      </c>
      <c r="D2" s="43" t="s">
        <v>100</v>
      </c>
      <c r="E2" s="43" t="s">
        <v>95</v>
      </c>
      <c r="F2" s="43" t="s">
        <v>89</v>
      </c>
      <c r="G2" s="43" t="s">
        <v>59</v>
      </c>
    </row>
    <row r="3" spans="1:7" s="35" customFormat="1" ht="157.5" customHeight="1">
      <c r="A3" s="44" t="s">
        <v>583</v>
      </c>
      <c r="B3" s="45"/>
      <c r="C3" s="46"/>
      <c r="D3" s="46"/>
      <c r="E3" s="46"/>
      <c r="F3" s="46"/>
      <c r="G3" s="46"/>
    </row>
    <row r="4" spans="1:7" s="35" customFormat="1" ht="157.5" customHeight="1">
      <c r="A4" s="44" t="s">
        <v>584</v>
      </c>
      <c r="B4" s="45"/>
      <c r="C4" s="46"/>
      <c r="D4" s="46"/>
      <c r="E4" s="46"/>
      <c r="F4" s="46"/>
      <c r="G4" s="46"/>
    </row>
    <row r="5" spans="1:7" s="35" customFormat="1" ht="157.5" customHeight="1">
      <c r="A5" s="44" t="s">
        <v>511</v>
      </c>
      <c r="B5" s="45"/>
      <c r="C5" s="46"/>
      <c r="D5" s="46"/>
      <c r="E5" s="46"/>
      <c r="F5" s="46"/>
      <c r="G5" s="46"/>
    </row>
    <row r="7" spans="1:7" s="1" customFormat="1"/>
    <row r="8" spans="1:7" s="1" customFormat="1"/>
    <row r="9" spans="1:7" s="1" customFormat="1"/>
    <row r="10" spans="1:7" s="1" customFormat="1"/>
    <row r="11" spans="1:7" s="1" customFormat="1"/>
    <row r="12" spans="1:7" s="1" customFormat="1"/>
    <row r="13" spans="1:7" s="1" customFormat="1"/>
    <row r="14" spans="1:7" s="1" customFormat="1"/>
    <row r="15" spans="1:7" s="1" customFormat="1"/>
    <row r="16" spans="1:7" s="1" customFormat="1"/>
    <row r="17" s="1" customFormat="1"/>
    <row r="18" s="1" customFormat="1"/>
    <row r="19" s="1" customFormat="1"/>
    <row r="20" s="1" customFormat="1"/>
    <row r="21" s="1" customFormat="1"/>
    <row r="22" s="1" customFormat="1"/>
    <row r="23" s="1" customFormat="1"/>
    <row r="24" s="1" customFormat="1"/>
    <row r="25" s="1" customFormat="1"/>
    <row r="26" s="1" customFormat="1"/>
    <row r="27" s="1" customFormat="1"/>
    <row r="28" s="1" customFormat="1"/>
    <row r="29" s="1" customFormat="1"/>
  </sheetData>
  <phoneticPr fontId="1"/>
  <pageMargins left="0.7" right="0.7" top="0.75" bottom="0.75" header="0.3" footer="0.3"/>
  <pageSetup paperSize="9" scale="91" fitToWidth="1" fitToHeight="0" orientation="landscape" usePrinterDefaults="1"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Y56"/>
  <sheetViews>
    <sheetView showGridLines="0" view="pageBreakPreview" zoomScale="60" zoomScaleNormal="85" workbookViewId="0">
      <selection activeCell="S57" sqref="S57"/>
    </sheetView>
  </sheetViews>
  <sheetFormatPr defaultRowHeight="13.5"/>
  <cols>
    <col min="1" max="45" width="3.125" style="1" customWidth="1"/>
    <col min="46" max="46" width="2.625" style="1" customWidth="1"/>
    <col min="47" max="62" width="3.125" style="1" customWidth="1"/>
    <col min="63" max="16384" width="9" style="1" customWidth="1"/>
  </cols>
  <sheetData>
    <row r="1" spans="1:51" ht="19.5" customHeight="1">
      <c r="A1" s="35" t="s">
        <v>198</v>
      </c>
    </row>
    <row r="2" spans="1:51" ht="18.75" customHeight="1">
      <c r="A2" s="36" t="s">
        <v>541</v>
      </c>
      <c r="AQ2" s="1" t="s">
        <v>110</v>
      </c>
    </row>
    <row r="3" spans="1:51" ht="18.75" customHeight="1">
      <c r="A3" s="47"/>
      <c r="B3" s="60"/>
      <c r="C3" s="60"/>
      <c r="D3" s="60"/>
      <c r="E3" s="60"/>
      <c r="F3" s="73"/>
      <c r="G3" s="86" t="s">
        <v>69</v>
      </c>
      <c r="H3" s="100"/>
      <c r="I3" s="100"/>
      <c r="J3" s="100"/>
      <c r="K3" s="100"/>
      <c r="L3" s="100" t="s">
        <v>50</v>
      </c>
      <c r="M3" s="100"/>
      <c r="N3" s="100"/>
      <c r="O3" s="100"/>
      <c r="P3" s="100"/>
      <c r="Q3" s="100" t="s">
        <v>28</v>
      </c>
      <c r="R3" s="100"/>
      <c r="S3" s="100"/>
      <c r="T3" s="100"/>
      <c r="U3" s="100"/>
      <c r="V3" s="100" t="s">
        <v>72</v>
      </c>
      <c r="W3" s="100"/>
      <c r="X3" s="100"/>
      <c r="Y3" s="100"/>
      <c r="Z3" s="100"/>
      <c r="AA3" s="159" t="s">
        <v>54</v>
      </c>
      <c r="AB3" s="100"/>
      <c r="AC3" s="100"/>
      <c r="AD3" s="100"/>
      <c r="AE3" s="100"/>
      <c r="AF3" s="100" t="s">
        <v>74</v>
      </c>
      <c r="AG3" s="100"/>
      <c r="AH3" s="100"/>
      <c r="AI3" s="100"/>
      <c r="AJ3" s="100"/>
      <c r="AK3" s="183"/>
      <c r="AL3" s="189"/>
      <c r="AM3" s="189"/>
      <c r="AN3" s="189"/>
      <c r="AO3" s="195"/>
      <c r="AP3" s="100"/>
      <c r="AQ3" s="100"/>
      <c r="AR3" s="100"/>
      <c r="AS3" s="100"/>
      <c r="AT3" s="125"/>
      <c r="AU3" s="202" t="s">
        <v>93</v>
      </c>
      <c r="AV3" s="211"/>
      <c r="AW3" s="211"/>
      <c r="AX3" s="211"/>
      <c r="AY3" s="215"/>
    </row>
    <row r="4" spans="1:51" ht="18.75" customHeight="1">
      <c r="A4" s="48"/>
      <c r="B4" s="61"/>
      <c r="C4" s="61"/>
      <c r="D4" s="61"/>
      <c r="E4" s="61"/>
      <c r="F4" s="74"/>
      <c r="G4" s="87"/>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184"/>
      <c r="AL4" s="190"/>
      <c r="AM4" s="190"/>
      <c r="AN4" s="190"/>
      <c r="AO4" s="196"/>
      <c r="AP4" s="43"/>
      <c r="AQ4" s="43"/>
      <c r="AR4" s="43"/>
      <c r="AS4" s="43"/>
      <c r="AT4" s="126"/>
      <c r="AU4" s="203"/>
      <c r="AV4" s="212"/>
      <c r="AW4" s="212"/>
      <c r="AX4" s="212"/>
      <c r="AY4" s="216"/>
    </row>
    <row r="5" spans="1:51" ht="19.5" customHeight="1">
      <c r="A5" s="49"/>
      <c r="B5" s="62"/>
      <c r="C5" s="62"/>
      <c r="D5" s="62"/>
      <c r="E5" s="62"/>
      <c r="F5" s="75"/>
      <c r="G5" s="88"/>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85"/>
      <c r="AL5" s="191"/>
      <c r="AM5" s="191"/>
      <c r="AN5" s="191"/>
      <c r="AO5" s="197"/>
      <c r="AP5" s="101"/>
      <c r="AQ5" s="101"/>
      <c r="AR5" s="101"/>
      <c r="AS5" s="101"/>
      <c r="AT5" s="127"/>
      <c r="AU5" s="204"/>
      <c r="AV5" s="213"/>
      <c r="AW5" s="213"/>
      <c r="AX5" s="213"/>
      <c r="AY5" s="217"/>
    </row>
    <row r="6" spans="1:51">
      <c r="A6" s="50"/>
      <c r="B6" s="63"/>
      <c r="C6" s="63"/>
      <c r="D6" s="63"/>
      <c r="E6" s="63"/>
      <c r="F6" s="76"/>
      <c r="G6" s="89"/>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86"/>
      <c r="AL6" s="192"/>
      <c r="AM6" s="192"/>
      <c r="AN6" s="192"/>
      <c r="AO6" s="198"/>
      <c r="AP6" s="102"/>
      <c r="AQ6" s="102"/>
      <c r="AR6" s="102"/>
      <c r="AS6" s="102"/>
      <c r="AT6" s="201"/>
      <c r="AU6" s="89"/>
      <c r="AV6" s="102"/>
      <c r="AW6" s="102"/>
      <c r="AX6" s="102"/>
      <c r="AY6" s="201"/>
    </row>
    <row r="7" spans="1:51">
      <c r="A7" s="51"/>
      <c r="B7" s="64"/>
      <c r="C7" s="64"/>
      <c r="D7" s="64"/>
      <c r="E7" s="64"/>
      <c r="F7" s="77"/>
      <c r="G7" s="90"/>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173"/>
      <c r="AL7" s="148"/>
      <c r="AM7" s="148"/>
      <c r="AN7" s="148"/>
      <c r="AO7" s="89"/>
      <c r="AP7" s="68"/>
      <c r="AQ7" s="68"/>
      <c r="AR7" s="68"/>
      <c r="AS7" s="68"/>
      <c r="AT7" s="81"/>
      <c r="AU7" s="90"/>
      <c r="AV7" s="68"/>
      <c r="AW7" s="68"/>
      <c r="AX7" s="68"/>
      <c r="AY7" s="81"/>
    </row>
    <row r="8" spans="1:51">
      <c r="A8" s="52"/>
      <c r="B8" s="65"/>
      <c r="C8" s="65"/>
      <c r="D8" s="65"/>
      <c r="E8" s="65"/>
      <c r="F8" s="78"/>
      <c r="G8" s="91"/>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87"/>
      <c r="AL8" s="193"/>
      <c r="AM8" s="193"/>
      <c r="AN8" s="193"/>
      <c r="AO8" s="199"/>
      <c r="AP8" s="103"/>
      <c r="AQ8" s="103"/>
      <c r="AR8" s="103"/>
      <c r="AS8" s="103"/>
      <c r="AT8" s="129"/>
      <c r="AU8" s="91"/>
      <c r="AV8" s="103"/>
      <c r="AW8" s="103"/>
      <c r="AX8" s="103"/>
      <c r="AY8" s="129"/>
    </row>
    <row r="9" spans="1:51">
      <c r="A9" s="52"/>
      <c r="B9" s="65"/>
      <c r="C9" s="65"/>
      <c r="D9" s="65"/>
      <c r="E9" s="65"/>
      <c r="F9" s="78"/>
      <c r="G9" s="91"/>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88"/>
      <c r="AL9" s="194"/>
      <c r="AM9" s="194"/>
      <c r="AN9" s="194"/>
      <c r="AO9" s="200"/>
      <c r="AP9" s="103"/>
      <c r="AQ9" s="103"/>
      <c r="AR9" s="103"/>
      <c r="AS9" s="103"/>
      <c r="AT9" s="129"/>
      <c r="AU9" s="91"/>
      <c r="AV9" s="103"/>
      <c r="AW9" s="103"/>
      <c r="AX9" s="103"/>
      <c r="AY9" s="129"/>
    </row>
    <row r="10" spans="1:51">
      <c r="A10" s="51"/>
      <c r="B10" s="64"/>
      <c r="C10" s="64"/>
      <c r="D10" s="64"/>
      <c r="E10" s="64"/>
      <c r="F10" s="77"/>
      <c r="G10" s="90"/>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172"/>
      <c r="AL10" s="147"/>
      <c r="AM10" s="147"/>
      <c r="AN10" s="147"/>
      <c r="AO10" s="157"/>
      <c r="AP10" s="68"/>
      <c r="AQ10" s="68"/>
      <c r="AR10" s="68"/>
      <c r="AS10" s="68"/>
      <c r="AT10" s="81"/>
      <c r="AU10" s="90"/>
      <c r="AV10" s="68"/>
      <c r="AW10" s="68"/>
      <c r="AX10" s="68"/>
      <c r="AY10" s="81"/>
    </row>
    <row r="11" spans="1:51">
      <c r="A11" s="51"/>
      <c r="B11" s="64"/>
      <c r="C11" s="64"/>
      <c r="D11" s="64"/>
      <c r="E11" s="64"/>
      <c r="F11" s="77"/>
      <c r="G11" s="90"/>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173"/>
      <c r="AL11" s="148"/>
      <c r="AM11" s="148"/>
      <c r="AN11" s="148"/>
      <c r="AO11" s="89"/>
      <c r="AP11" s="68"/>
      <c r="AQ11" s="68"/>
      <c r="AR11" s="68"/>
      <c r="AS11" s="68"/>
      <c r="AT11" s="81"/>
      <c r="AU11" s="90"/>
      <c r="AV11" s="68"/>
      <c r="AW11" s="68"/>
      <c r="AX11" s="68"/>
      <c r="AY11" s="81"/>
    </row>
    <row r="12" spans="1:51">
      <c r="A12" s="51"/>
      <c r="B12" s="64"/>
      <c r="C12" s="64"/>
      <c r="D12" s="64"/>
      <c r="E12" s="64"/>
      <c r="F12" s="77"/>
      <c r="G12" s="90"/>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172"/>
      <c r="AL12" s="147"/>
      <c r="AM12" s="147"/>
      <c r="AN12" s="147"/>
      <c r="AO12" s="157"/>
      <c r="AP12" s="68"/>
      <c r="AQ12" s="68"/>
      <c r="AR12" s="68"/>
      <c r="AS12" s="68"/>
      <c r="AT12" s="81"/>
      <c r="AU12" s="90"/>
      <c r="AV12" s="68"/>
      <c r="AW12" s="68"/>
      <c r="AX12" s="68"/>
      <c r="AY12" s="81"/>
    </row>
    <row r="13" spans="1:51">
      <c r="A13" s="51"/>
      <c r="B13" s="64"/>
      <c r="C13" s="64"/>
      <c r="D13" s="64"/>
      <c r="E13" s="64"/>
      <c r="F13" s="77"/>
      <c r="G13" s="90"/>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173"/>
      <c r="AL13" s="148"/>
      <c r="AM13" s="148"/>
      <c r="AN13" s="148"/>
      <c r="AO13" s="89"/>
      <c r="AP13" s="68"/>
      <c r="AQ13" s="68"/>
      <c r="AR13" s="68"/>
      <c r="AS13" s="68"/>
      <c r="AT13" s="81"/>
      <c r="AU13" s="90"/>
      <c r="AV13" s="68"/>
      <c r="AW13" s="68"/>
      <c r="AX13" s="68"/>
      <c r="AY13" s="81"/>
    </row>
    <row r="14" spans="1:51">
      <c r="A14" s="53"/>
      <c r="B14" s="66"/>
      <c r="C14" s="66"/>
      <c r="D14" s="66"/>
      <c r="E14" s="66"/>
      <c r="F14" s="79"/>
      <c r="G14" s="91"/>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87"/>
      <c r="AL14" s="193"/>
      <c r="AM14" s="193"/>
      <c r="AN14" s="193"/>
      <c r="AO14" s="199"/>
      <c r="AP14" s="103"/>
      <c r="AQ14" s="103"/>
      <c r="AR14" s="103"/>
      <c r="AS14" s="103"/>
      <c r="AT14" s="129"/>
      <c r="AU14" s="91"/>
      <c r="AV14" s="103"/>
      <c r="AW14" s="103"/>
      <c r="AX14" s="103"/>
      <c r="AY14" s="129"/>
    </row>
    <row r="15" spans="1:51">
      <c r="A15" s="53"/>
      <c r="B15" s="66"/>
      <c r="C15" s="66"/>
      <c r="D15" s="66"/>
      <c r="E15" s="66"/>
      <c r="F15" s="79"/>
      <c r="G15" s="91"/>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c r="AF15" s="103"/>
      <c r="AG15" s="103"/>
      <c r="AH15" s="103"/>
      <c r="AI15" s="103"/>
      <c r="AJ15" s="103"/>
      <c r="AK15" s="188"/>
      <c r="AL15" s="194"/>
      <c r="AM15" s="194"/>
      <c r="AN15" s="194"/>
      <c r="AO15" s="200"/>
      <c r="AP15" s="103"/>
      <c r="AQ15" s="103"/>
      <c r="AR15" s="103"/>
      <c r="AS15" s="103"/>
      <c r="AT15" s="129"/>
      <c r="AU15" s="91"/>
      <c r="AV15" s="103"/>
      <c r="AW15" s="103"/>
      <c r="AX15" s="103"/>
      <c r="AY15" s="129"/>
    </row>
    <row r="16" spans="1:51">
      <c r="A16" s="53"/>
      <c r="B16" s="66"/>
      <c r="C16" s="66"/>
      <c r="D16" s="66"/>
      <c r="E16" s="66"/>
      <c r="F16" s="79"/>
      <c r="G16" s="91"/>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87"/>
      <c r="AL16" s="193"/>
      <c r="AM16" s="193"/>
      <c r="AN16" s="193"/>
      <c r="AO16" s="199"/>
      <c r="AP16" s="103"/>
      <c r="AQ16" s="103"/>
      <c r="AR16" s="103"/>
      <c r="AS16" s="103"/>
      <c r="AT16" s="129"/>
      <c r="AU16" s="91"/>
      <c r="AV16" s="103"/>
      <c r="AW16" s="103"/>
      <c r="AX16" s="103"/>
      <c r="AY16" s="129"/>
    </row>
    <row r="17" spans="1:51">
      <c r="A17" s="54"/>
      <c r="B17" s="67"/>
      <c r="C17" s="67"/>
      <c r="D17" s="67"/>
      <c r="E17" s="67"/>
      <c r="F17" s="80"/>
      <c r="G17" s="92"/>
      <c r="H17" s="104"/>
      <c r="I17" s="104"/>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88"/>
      <c r="AL17" s="194"/>
      <c r="AM17" s="194"/>
      <c r="AN17" s="194"/>
      <c r="AO17" s="200"/>
      <c r="AP17" s="103"/>
      <c r="AQ17" s="103"/>
      <c r="AR17" s="103"/>
      <c r="AS17" s="103"/>
      <c r="AT17" s="129"/>
      <c r="AU17" s="91"/>
      <c r="AV17" s="103"/>
      <c r="AW17" s="103"/>
      <c r="AX17" s="103"/>
      <c r="AY17" s="129"/>
    </row>
    <row r="18" spans="1:51">
      <c r="A18" s="55"/>
      <c r="B18" s="68"/>
      <c r="C18" s="68"/>
      <c r="D18" s="68"/>
      <c r="E18" s="68"/>
      <c r="F18" s="81"/>
      <c r="G18" s="90"/>
      <c r="H18" s="68"/>
      <c r="I18" s="68"/>
      <c r="J18" s="68"/>
      <c r="K18" s="68"/>
      <c r="L18" s="68"/>
      <c r="M18" s="68"/>
      <c r="N18" s="68"/>
      <c r="O18" s="68"/>
      <c r="P18" s="68"/>
      <c r="Q18" s="68"/>
      <c r="R18" s="68"/>
      <c r="S18" s="68"/>
      <c r="T18" s="68"/>
      <c r="U18" s="68"/>
      <c r="V18" s="68"/>
      <c r="W18" s="68"/>
      <c r="X18" s="68"/>
      <c r="Y18" s="68"/>
      <c r="Z18" s="68"/>
      <c r="AA18" s="160"/>
      <c r="AB18" s="160"/>
      <c r="AC18" s="160"/>
      <c r="AD18" s="160"/>
      <c r="AE18" s="160"/>
      <c r="AF18" s="68"/>
      <c r="AG18" s="68"/>
      <c r="AH18" s="68"/>
      <c r="AI18" s="68"/>
      <c r="AJ18" s="68"/>
      <c r="AK18" s="172"/>
      <c r="AL18" s="147"/>
      <c r="AM18" s="147"/>
      <c r="AN18" s="147"/>
      <c r="AO18" s="157"/>
      <c r="AP18" s="68"/>
      <c r="AQ18" s="68"/>
      <c r="AR18" s="68"/>
      <c r="AS18" s="68"/>
      <c r="AT18" s="81"/>
      <c r="AU18" s="90"/>
      <c r="AV18" s="68"/>
      <c r="AW18" s="68"/>
      <c r="AX18" s="68"/>
      <c r="AY18" s="81"/>
    </row>
    <row r="19" spans="1:51">
      <c r="A19" s="55"/>
      <c r="B19" s="68"/>
      <c r="C19" s="68"/>
      <c r="D19" s="68"/>
      <c r="E19" s="68"/>
      <c r="F19" s="81"/>
      <c r="G19" s="90"/>
      <c r="H19" s="68"/>
      <c r="I19" s="68"/>
      <c r="J19" s="68"/>
      <c r="K19" s="68"/>
      <c r="L19" s="68"/>
      <c r="M19" s="68"/>
      <c r="N19" s="68"/>
      <c r="O19" s="68"/>
      <c r="P19" s="68"/>
      <c r="Q19" s="68"/>
      <c r="R19" s="68"/>
      <c r="S19" s="68"/>
      <c r="T19" s="68"/>
      <c r="U19" s="68"/>
      <c r="V19" s="68"/>
      <c r="W19" s="68"/>
      <c r="X19" s="68"/>
      <c r="Y19" s="68"/>
      <c r="Z19" s="68"/>
      <c r="AA19" s="160"/>
      <c r="AB19" s="160"/>
      <c r="AC19" s="160"/>
      <c r="AD19" s="160"/>
      <c r="AE19" s="160"/>
      <c r="AF19" s="68"/>
      <c r="AG19" s="68"/>
      <c r="AH19" s="68"/>
      <c r="AI19" s="68"/>
      <c r="AJ19" s="68"/>
      <c r="AK19" s="173"/>
      <c r="AL19" s="148"/>
      <c r="AM19" s="148"/>
      <c r="AN19" s="148"/>
      <c r="AO19" s="89"/>
      <c r="AP19" s="68"/>
      <c r="AQ19" s="68"/>
      <c r="AR19" s="68"/>
      <c r="AS19" s="68"/>
      <c r="AT19" s="81"/>
      <c r="AU19" s="90"/>
      <c r="AV19" s="68"/>
      <c r="AW19" s="68"/>
      <c r="AX19" s="68"/>
      <c r="AY19" s="81"/>
    </row>
    <row r="20" spans="1:51">
      <c r="A20" s="55"/>
      <c r="B20" s="68"/>
      <c r="C20" s="68"/>
      <c r="D20" s="68"/>
      <c r="E20" s="68"/>
      <c r="F20" s="81"/>
      <c r="G20" s="90"/>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172"/>
      <c r="AL20" s="147"/>
      <c r="AM20" s="147"/>
      <c r="AN20" s="147"/>
      <c r="AO20" s="157"/>
      <c r="AP20" s="68"/>
      <c r="AQ20" s="68"/>
      <c r="AR20" s="68"/>
      <c r="AS20" s="68"/>
      <c r="AT20" s="81"/>
      <c r="AU20" s="90"/>
      <c r="AV20" s="68"/>
      <c r="AW20" s="68"/>
      <c r="AX20" s="68"/>
      <c r="AY20" s="81"/>
    </row>
    <row r="21" spans="1:51">
      <c r="A21" s="55"/>
      <c r="B21" s="68"/>
      <c r="C21" s="68"/>
      <c r="D21" s="68"/>
      <c r="E21" s="68"/>
      <c r="F21" s="81"/>
      <c r="G21" s="90"/>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173"/>
      <c r="AL21" s="148"/>
      <c r="AM21" s="148"/>
      <c r="AN21" s="148"/>
      <c r="AO21" s="89"/>
      <c r="AP21" s="68"/>
      <c r="AQ21" s="68"/>
      <c r="AR21" s="68"/>
      <c r="AS21" s="68"/>
      <c r="AT21" s="81"/>
      <c r="AU21" s="90"/>
      <c r="AV21" s="68"/>
      <c r="AW21" s="68"/>
      <c r="AX21" s="68"/>
      <c r="AY21" s="81"/>
    </row>
    <row r="22" spans="1:51">
      <c r="A22" s="55"/>
      <c r="B22" s="68"/>
      <c r="C22" s="68"/>
      <c r="D22" s="68"/>
      <c r="E22" s="68"/>
      <c r="F22" s="81"/>
      <c r="G22" s="90"/>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172"/>
      <c r="AL22" s="147"/>
      <c r="AM22" s="147"/>
      <c r="AN22" s="147"/>
      <c r="AO22" s="157"/>
      <c r="AP22" s="68"/>
      <c r="AQ22" s="68"/>
      <c r="AR22" s="68"/>
      <c r="AS22" s="68"/>
      <c r="AT22" s="81"/>
      <c r="AU22" s="90"/>
      <c r="AV22" s="68"/>
      <c r="AW22" s="68"/>
      <c r="AX22" s="68"/>
      <c r="AY22" s="81"/>
    </row>
    <row r="23" spans="1:51">
      <c r="A23" s="55"/>
      <c r="B23" s="68"/>
      <c r="C23" s="68"/>
      <c r="D23" s="68"/>
      <c r="E23" s="68"/>
      <c r="F23" s="81"/>
      <c r="G23" s="90"/>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173"/>
      <c r="AL23" s="148"/>
      <c r="AM23" s="148"/>
      <c r="AN23" s="148"/>
      <c r="AO23" s="89"/>
      <c r="AP23" s="68"/>
      <c r="AQ23" s="68"/>
      <c r="AR23" s="68"/>
      <c r="AS23" s="68"/>
      <c r="AT23" s="81"/>
      <c r="AU23" s="90"/>
      <c r="AV23" s="68"/>
      <c r="AW23" s="68"/>
      <c r="AX23" s="68"/>
      <c r="AY23" s="81"/>
    </row>
    <row r="24" spans="1:51" ht="18.75" customHeight="1">
      <c r="A24" s="55"/>
      <c r="B24" s="68"/>
      <c r="C24" s="68"/>
      <c r="D24" s="68"/>
      <c r="E24" s="68"/>
      <c r="F24" s="81"/>
      <c r="G24" s="90"/>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172"/>
      <c r="AL24" s="147"/>
      <c r="AM24" s="147"/>
      <c r="AN24" s="147"/>
      <c r="AO24" s="157"/>
      <c r="AP24" s="68"/>
      <c r="AQ24" s="68"/>
      <c r="AR24" s="68"/>
      <c r="AS24" s="68"/>
      <c r="AT24" s="81"/>
      <c r="AU24" s="90"/>
      <c r="AV24" s="68"/>
      <c r="AW24" s="68"/>
      <c r="AX24" s="68"/>
      <c r="AY24" s="81"/>
    </row>
    <row r="25" spans="1:51" ht="19.5" customHeight="1">
      <c r="A25" s="56"/>
      <c r="B25" s="69"/>
      <c r="C25" s="69"/>
      <c r="D25" s="69"/>
      <c r="E25" s="69"/>
      <c r="F25" s="82"/>
      <c r="G25" s="93"/>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174"/>
      <c r="AL25" s="149"/>
      <c r="AM25" s="149"/>
      <c r="AN25" s="149"/>
      <c r="AO25" s="158"/>
      <c r="AP25" s="69"/>
      <c r="AQ25" s="69"/>
      <c r="AR25" s="69"/>
      <c r="AS25" s="69"/>
      <c r="AT25" s="82"/>
      <c r="AU25" s="93"/>
      <c r="AV25" s="69"/>
      <c r="AW25" s="69"/>
      <c r="AX25" s="69"/>
      <c r="AY25" s="82"/>
    </row>
    <row r="26" spans="1:51">
      <c r="B26" s="1" t="s">
        <v>68</v>
      </c>
      <c r="C26" s="1" t="s">
        <v>90</v>
      </c>
    </row>
    <row r="28" spans="1:51">
      <c r="A28" s="36" t="s">
        <v>132</v>
      </c>
    </row>
    <row r="29" spans="1:51" ht="13.5" customHeight="1">
      <c r="A29" s="57"/>
      <c r="B29" s="70"/>
      <c r="C29" s="70"/>
      <c r="D29" s="70"/>
      <c r="E29" s="70"/>
      <c r="F29" s="83"/>
      <c r="G29" s="94" t="s">
        <v>77</v>
      </c>
      <c r="H29" s="105"/>
      <c r="I29" s="105"/>
      <c r="J29" s="100"/>
      <c r="K29" s="109"/>
      <c r="L29" s="119" t="s">
        <v>232</v>
      </c>
      <c r="M29" s="100"/>
      <c r="N29" s="100"/>
      <c r="O29" s="100"/>
      <c r="P29" s="125"/>
      <c r="Q29" s="119" t="s">
        <v>579</v>
      </c>
      <c r="R29" s="100"/>
      <c r="S29" s="100"/>
      <c r="T29" s="100"/>
      <c r="U29" s="125"/>
      <c r="V29" s="138" t="s">
        <v>513</v>
      </c>
      <c r="W29" s="138"/>
      <c r="X29" s="138"/>
      <c r="Y29" s="138"/>
      <c r="Z29" s="150"/>
      <c r="AA29" s="161" t="s">
        <v>580</v>
      </c>
      <c r="AB29" s="138"/>
      <c r="AC29" s="138"/>
      <c r="AD29" s="138"/>
      <c r="AE29" s="150"/>
      <c r="AF29" s="161" t="s">
        <v>374</v>
      </c>
      <c r="AG29" s="138"/>
      <c r="AH29" s="138"/>
      <c r="AI29" s="138"/>
      <c r="AJ29" s="150"/>
      <c r="AK29" s="161" t="s">
        <v>581</v>
      </c>
      <c r="AL29" s="189"/>
      <c r="AM29" s="189"/>
      <c r="AN29" s="189"/>
      <c r="AO29" s="195"/>
      <c r="AP29" s="100"/>
      <c r="AQ29" s="100"/>
      <c r="AR29" s="100"/>
      <c r="AS29" s="100"/>
      <c r="AT29" s="125"/>
      <c r="AU29" s="205" t="s">
        <v>199</v>
      </c>
      <c r="AV29" s="100"/>
      <c r="AW29" s="100"/>
      <c r="AX29" s="100"/>
      <c r="AY29" s="125"/>
    </row>
    <row r="30" spans="1:51" ht="18.75" customHeight="1">
      <c r="A30" s="48"/>
      <c r="B30" s="61"/>
      <c r="C30" s="61"/>
      <c r="D30" s="61"/>
      <c r="E30" s="61"/>
      <c r="F30" s="74"/>
      <c r="G30" s="87"/>
      <c r="H30" s="43"/>
      <c r="I30" s="43"/>
      <c r="J30" s="43"/>
      <c r="K30" s="110"/>
      <c r="L30" s="87"/>
      <c r="M30" s="43"/>
      <c r="N30" s="43"/>
      <c r="O30" s="43"/>
      <c r="P30" s="126"/>
      <c r="Q30" s="87"/>
      <c r="R30" s="43"/>
      <c r="S30" s="43"/>
      <c r="T30" s="43"/>
      <c r="U30" s="126"/>
      <c r="V30" s="139"/>
      <c r="W30" s="139"/>
      <c r="X30" s="139"/>
      <c r="Y30" s="139"/>
      <c r="Z30" s="151"/>
      <c r="AA30" s="162"/>
      <c r="AB30" s="139"/>
      <c r="AC30" s="139"/>
      <c r="AD30" s="139"/>
      <c r="AE30" s="151"/>
      <c r="AF30" s="162"/>
      <c r="AG30" s="139"/>
      <c r="AH30" s="139"/>
      <c r="AI30" s="139"/>
      <c r="AJ30" s="151"/>
      <c r="AK30" s="184"/>
      <c r="AL30" s="190"/>
      <c r="AM30" s="190"/>
      <c r="AN30" s="190"/>
      <c r="AO30" s="196"/>
      <c r="AP30" s="43"/>
      <c r="AQ30" s="43"/>
      <c r="AR30" s="43"/>
      <c r="AS30" s="43"/>
      <c r="AT30" s="126"/>
      <c r="AU30" s="206"/>
      <c r="AV30" s="43"/>
      <c r="AW30" s="43"/>
      <c r="AX30" s="43"/>
      <c r="AY30" s="126"/>
    </row>
    <row r="31" spans="1:51" ht="19.5" customHeight="1">
      <c r="A31" s="49"/>
      <c r="B31" s="62"/>
      <c r="C31" s="62"/>
      <c r="D31" s="62"/>
      <c r="E31" s="62"/>
      <c r="F31" s="75"/>
      <c r="G31" s="88"/>
      <c r="H31" s="101"/>
      <c r="I31" s="101"/>
      <c r="J31" s="101"/>
      <c r="K31" s="111"/>
      <c r="L31" s="88"/>
      <c r="M31" s="101"/>
      <c r="N31" s="101"/>
      <c r="O31" s="101"/>
      <c r="P31" s="127"/>
      <c r="Q31" s="88"/>
      <c r="R31" s="101"/>
      <c r="S31" s="101"/>
      <c r="T31" s="101"/>
      <c r="U31" s="127"/>
      <c r="V31" s="140"/>
      <c r="W31" s="140"/>
      <c r="X31" s="140"/>
      <c r="Y31" s="140"/>
      <c r="Z31" s="152"/>
      <c r="AA31" s="163"/>
      <c r="AB31" s="140"/>
      <c r="AC31" s="140"/>
      <c r="AD31" s="140"/>
      <c r="AE31" s="152"/>
      <c r="AF31" s="163"/>
      <c r="AG31" s="140"/>
      <c r="AH31" s="140"/>
      <c r="AI31" s="140"/>
      <c r="AJ31" s="152"/>
      <c r="AK31" s="185"/>
      <c r="AL31" s="191"/>
      <c r="AM31" s="191"/>
      <c r="AN31" s="191"/>
      <c r="AO31" s="197"/>
      <c r="AP31" s="101"/>
      <c r="AQ31" s="101"/>
      <c r="AR31" s="101"/>
      <c r="AS31" s="101"/>
      <c r="AT31" s="127"/>
      <c r="AU31" s="207"/>
      <c r="AV31" s="101"/>
      <c r="AW31" s="101"/>
      <c r="AX31" s="101"/>
      <c r="AY31" s="127"/>
    </row>
    <row r="32" spans="1:51">
      <c r="A32" s="58"/>
      <c r="B32" s="71"/>
      <c r="C32" s="71"/>
      <c r="D32" s="71"/>
      <c r="E32" s="71"/>
      <c r="F32" s="84"/>
      <c r="G32" s="95"/>
      <c r="H32" s="106"/>
      <c r="I32" s="106"/>
      <c r="J32" s="106"/>
      <c r="K32" s="112"/>
      <c r="L32" s="58"/>
      <c r="M32" s="71"/>
      <c r="N32" s="71"/>
      <c r="O32" s="71"/>
      <c r="P32" s="84"/>
      <c r="Q32" s="131"/>
      <c r="R32" s="106"/>
      <c r="S32" s="106"/>
      <c r="T32" s="106"/>
      <c r="U32" s="136"/>
      <c r="V32" s="141"/>
      <c r="W32" s="141"/>
      <c r="X32" s="141"/>
      <c r="Y32" s="141"/>
      <c r="Z32" s="153"/>
      <c r="AA32" s="164"/>
      <c r="AB32" s="141"/>
      <c r="AC32" s="141"/>
      <c r="AD32" s="141"/>
      <c r="AE32" s="153"/>
      <c r="AF32" s="164"/>
      <c r="AG32" s="141"/>
      <c r="AH32" s="141"/>
      <c r="AI32" s="141"/>
      <c r="AJ32" s="153"/>
      <c r="AK32" s="164"/>
      <c r="AL32" s="141"/>
      <c r="AM32" s="141"/>
      <c r="AN32" s="141"/>
      <c r="AO32" s="153"/>
      <c r="AP32" s="106"/>
      <c r="AQ32" s="106"/>
      <c r="AR32" s="106"/>
      <c r="AS32" s="106"/>
      <c r="AT32" s="136"/>
      <c r="AU32" s="208"/>
      <c r="AV32" s="106"/>
      <c r="AW32" s="106"/>
      <c r="AX32" s="106"/>
      <c r="AY32" s="136"/>
    </row>
    <row r="33" spans="1:51">
      <c r="A33" s="51"/>
      <c r="B33" s="64"/>
      <c r="C33" s="64"/>
      <c r="D33" s="64"/>
      <c r="E33" s="64"/>
      <c r="F33" s="77"/>
      <c r="G33" s="96"/>
      <c r="H33" s="107"/>
      <c r="I33" s="107"/>
      <c r="J33" s="107"/>
      <c r="K33" s="113"/>
      <c r="L33" s="51"/>
      <c r="M33" s="64"/>
      <c r="N33" s="64"/>
      <c r="O33" s="64"/>
      <c r="P33" s="77"/>
      <c r="Q33" s="132"/>
      <c r="R33" s="107"/>
      <c r="S33" s="107"/>
      <c r="T33" s="107"/>
      <c r="U33" s="137"/>
      <c r="V33" s="142"/>
      <c r="W33" s="142"/>
      <c r="X33" s="142"/>
      <c r="Y33" s="142"/>
      <c r="Z33" s="95"/>
      <c r="AA33" s="165"/>
      <c r="AB33" s="175"/>
      <c r="AC33" s="175"/>
      <c r="AD33" s="175"/>
      <c r="AE33" s="179"/>
      <c r="AF33" s="112"/>
      <c r="AG33" s="142"/>
      <c r="AH33" s="142"/>
      <c r="AI33" s="142"/>
      <c r="AJ33" s="95"/>
      <c r="AK33" s="112"/>
      <c r="AL33" s="142"/>
      <c r="AM33" s="142"/>
      <c r="AN33" s="142"/>
      <c r="AO33" s="95"/>
      <c r="AP33" s="107"/>
      <c r="AQ33" s="107"/>
      <c r="AR33" s="107"/>
      <c r="AS33" s="107"/>
      <c r="AT33" s="137"/>
      <c r="AU33" s="96"/>
      <c r="AV33" s="107"/>
      <c r="AW33" s="107"/>
      <c r="AX33" s="107"/>
      <c r="AY33" s="137"/>
    </row>
    <row r="34" spans="1:51">
      <c r="A34" s="52"/>
      <c r="B34" s="65"/>
      <c r="C34" s="65"/>
      <c r="D34" s="65"/>
      <c r="E34" s="65"/>
      <c r="F34" s="78"/>
      <c r="G34" s="97"/>
      <c r="H34" s="108"/>
      <c r="I34" s="108"/>
      <c r="J34" s="108"/>
      <c r="K34" s="114"/>
      <c r="L34" s="52"/>
      <c r="M34" s="65"/>
      <c r="N34" s="65"/>
      <c r="O34" s="65"/>
      <c r="P34" s="78"/>
      <c r="Q34" s="133"/>
      <c r="R34" s="107"/>
      <c r="S34" s="107"/>
      <c r="T34" s="107"/>
      <c r="U34" s="137"/>
      <c r="V34" s="143"/>
      <c r="W34" s="143"/>
      <c r="X34" s="143"/>
      <c r="Y34" s="143"/>
      <c r="Z34" s="154"/>
      <c r="AA34" s="166"/>
      <c r="AB34" s="143"/>
      <c r="AC34" s="143"/>
      <c r="AD34" s="143"/>
      <c r="AE34" s="154"/>
      <c r="AF34" s="166"/>
      <c r="AG34" s="143"/>
      <c r="AH34" s="143"/>
      <c r="AI34" s="143"/>
      <c r="AJ34" s="154"/>
      <c r="AK34" s="166"/>
      <c r="AL34" s="143"/>
      <c r="AM34" s="143"/>
      <c r="AN34" s="143"/>
      <c r="AO34" s="154"/>
      <c r="AP34" s="107"/>
      <c r="AQ34" s="107"/>
      <c r="AR34" s="107"/>
      <c r="AS34" s="107"/>
      <c r="AT34" s="137"/>
      <c r="AU34" s="209"/>
      <c r="AV34" s="107"/>
      <c r="AW34" s="107"/>
      <c r="AX34" s="107"/>
      <c r="AY34" s="137"/>
    </row>
    <row r="35" spans="1:51">
      <c r="A35" s="52"/>
      <c r="B35" s="65"/>
      <c r="C35" s="65"/>
      <c r="D35" s="65"/>
      <c r="E35" s="65"/>
      <c r="F35" s="78"/>
      <c r="G35" s="97"/>
      <c r="H35" s="108"/>
      <c r="I35" s="108"/>
      <c r="J35" s="108"/>
      <c r="K35" s="114"/>
      <c r="L35" s="52"/>
      <c r="M35" s="65"/>
      <c r="N35" s="65"/>
      <c r="O35" s="65"/>
      <c r="P35" s="78"/>
      <c r="Q35" s="132"/>
      <c r="R35" s="107"/>
      <c r="S35" s="107"/>
      <c r="T35" s="107"/>
      <c r="U35" s="137"/>
      <c r="V35" s="142"/>
      <c r="W35" s="142"/>
      <c r="X35" s="142"/>
      <c r="Y35" s="142"/>
      <c r="Z35" s="95"/>
      <c r="AA35" s="112"/>
      <c r="AB35" s="142"/>
      <c r="AC35" s="142"/>
      <c r="AD35" s="142"/>
      <c r="AE35" s="95"/>
      <c r="AF35" s="112"/>
      <c r="AG35" s="142"/>
      <c r="AH35" s="142"/>
      <c r="AI35" s="142"/>
      <c r="AJ35" s="95"/>
      <c r="AK35" s="112"/>
      <c r="AL35" s="142"/>
      <c r="AM35" s="142"/>
      <c r="AN35" s="142"/>
      <c r="AO35" s="95"/>
      <c r="AP35" s="107"/>
      <c r="AQ35" s="107"/>
      <c r="AR35" s="107"/>
      <c r="AS35" s="107"/>
      <c r="AT35" s="137"/>
      <c r="AU35" s="96"/>
      <c r="AV35" s="107"/>
      <c r="AW35" s="107"/>
      <c r="AX35" s="107"/>
      <c r="AY35" s="137"/>
    </row>
    <row r="36" spans="1:51">
      <c r="A36" s="52"/>
      <c r="B36" s="65"/>
      <c r="C36" s="65"/>
      <c r="D36" s="65"/>
      <c r="E36" s="65"/>
      <c r="F36" s="78"/>
      <c r="G36" s="98"/>
      <c r="H36" s="66"/>
      <c r="I36" s="66"/>
      <c r="J36" s="66"/>
      <c r="K36" s="115"/>
      <c r="L36" s="120"/>
      <c r="M36" s="123"/>
      <c r="N36" s="123"/>
      <c r="O36" s="123"/>
      <c r="P36" s="128"/>
      <c r="Q36" s="134"/>
      <c r="R36" s="72"/>
      <c r="S36" s="72"/>
      <c r="T36" s="72"/>
      <c r="U36" s="85"/>
      <c r="V36" s="144"/>
      <c r="W36" s="144"/>
      <c r="X36" s="144"/>
      <c r="Y36" s="144"/>
      <c r="Z36" s="155"/>
      <c r="AA36" s="167"/>
      <c r="AB36" s="176"/>
      <c r="AC36" s="176"/>
      <c r="AD36" s="176"/>
      <c r="AE36" s="180"/>
      <c r="AF36" s="169"/>
      <c r="AG36" s="144"/>
      <c r="AH36" s="144"/>
      <c r="AI36" s="144"/>
      <c r="AJ36" s="155"/>
      <c r="AK36" s="169"/>
      <c r="AL36" s="144"/>
      <c r="AM36" s="144"/>
      <c r="AN36" s="144"/>
      <c r="AO36" s="155"/>
      <c r="AP36" s="72"/>
      <c r="AQ36" s="72"/>
      <c r="AR36" s="72"/>
      <c r="AS36" s="72"/>
      <c r="AT36" s="85"/>
      <c r="AU36" s="210"/>
      <c r="AV36" s="68"/>
      <c r="AW36" s="68"/>
      <c r="AX36" s="68"/>
      <c r="AY36" s="81"/>
    </row>
    <row r="37" spans="1:51">
      <c r="A37" s="52"/>
      <c r="B37" s="65"/>
      <c r="C37" s="65"/>
      <c r="D37" s="65"/>
      <c r="E37" s="65"/>
      <c r="F37" s="78"/>
      <c r="G37" s="98"/>
      <c r="H37" s="66"/>
      <c r="I37" s="66"/>
      <c r="J37" s="66"/>
      <c r="K37" s="115"/>
      <c r="L37" s="120"/>
      <c r="M37" s="123"/>
      <c r="N37" s="123"/>
      <c r="O37" s="123"/>
      <c r="P37" s="128"/>
      <c r="Q37" s="59"/>
      <c r="R37" s="72"/>
      <c r="S37" s="72"/>
      <c r="T37" s="72"/>
      <c r="U37" s="85"/>
      <c r="V37" s="145"/>
      <c r="W37" s="145"/>
      <c r="X37" s="145"/>
      <c r="Y37" s="145"/>
      <c r="Z37" s="156"/>
      <c r="AA37" s="168"/>
      <c r="AB37" s="145"/>
      <c r="AC37" s="145"/>
      <c r="AD37" s="145"/>
      <c r="AE37" s="156"/>
      <c r="AF37" s="168"/>
      <c r="AG37" s="145"/>
      <c r="AH37" s="145"/>
      <c r="AI37" s="145"/>
      <c r="AJ37" s="156"/>
      <c r="AK37" s="168"/>
      <c r="AL37" s="145"/>
      <c r="AM37" s="145"/>
      <c r="AN37" s="145"/>
      <c r="AO37" s="156"/>
      <c r="AP37" s="72"/>
      <c r="AQ37" s="72"/>
      <c r="AR37" s="72"/>
      <c r="AS37" s="72"/>
      <c r="AT37" s="85"/>
      <c r="AU37" s="90"/>
      <c r="AV37" s="68"/>
      <c r="AW37" s="68"/>
      <c r="AX37" s="68"/>
      <c r="AY37" s="81"/>
    </row>
    <row r="38" spans="1:51" ht="22.5" customHeight="1">
      <c r="A38" s="51"/>
      <c r="B38" s="64"/>
      <c r="C38" s="64"/>
      <c r="D38" s="64"/>
      <c r="E38" s="64"/>
      <c r="F38" s="77"/>
      <c r="G38" s="99"/>
      <c r="H38" s="72"/>
      <c r="I38" s="72"/>
      <c r="J38" s="72"/>
      <c r="K38" s="116"/>
      <c r="L38" s="120"/>
      <c r="M38" s="123"/>
      <c r="N38" s="123"/>
      <c r="O38" s="123"/>
      <c r="P38" s="128"/>
      <c r="Q38" s="135"/>
      <c r="R38" s="72"/>
      <c r="S38" s="72"/>
      <c r="T38" s="72"/>
      <c r="U38" s="85"/>
      <c r="V38" s="146"/>
      <c r="W38" s="144"/>
      <c r="X38" s="144"/>
      <c r="Y38" s="144"/>
      <c r="Z38" s="155"/>
      <c r="AA38" s="169"/>
      <c r="AB38" s="144"/>
      <c r="AC38" s="144"/>
      <c r="AD38" s="144"/>
      <c r="AE38" s="155"/>
      <c r="AF38" s="169"/>
      <c r="AG38" s="144"/>
      <c r="AH38" s="144"/>
      <c r="AI38" s="144"/>
      <c r="AJ38" s="155"/>
      <c r="AK38" s="169"/>
      <c r="AL38" s="144"/>
      <c r="AM38" s="144"/>
      <c r="AN38" s="144"/>
      <c r="AO38" s="155"/>
      <c r="AP38" s="72"/>
      <c r="AQ38" s="72"/>
      <c r="AR38" s="72"/>
      <c r="AS38" s="72"/>
      <c r="AT38" s="85"/>
      <c r="AU38" s="210"/>
      <c r="AV38" s="214"/>
      <c r="AW38" s="214"/>
      <c r="AX38" s="214"/>
      <c r="AY38" s="218"/>
    </row>
    <row r="39" spans="1:51" ht="22.5" customHeight="1">
      <c r="A39" s="51"/>
      <c r="B39" s="64"/>
      <c r="C39" s="64"/>
      <c r="D39" s="64"/>
      <c r="E39" s="64"/>
      <c r="F39" s="77"/>
      <c r="G39" s="99"/>
      <c r="H39" s="72"/>
      <c r="I39" s="72"/>
      <c r="J39" s="72"/>
      <c r="K39" s="116"/>
      <c r="L39" s="120"/>
      <c r="M39" s="123"/>
      <c r="N39" s="123"/>
      <c r="O39" s="123"/>
      <c r="P39" s="128"/>
      <c r="Q39" s="59"/>
      <c r="R39" s="72"/>
      <c r="S39" s="72"/>
      <c r="T39" s="72"/>
      <c r="U39" s="85"/>
      <c r="V39" s="145"/>
      <c r="W39" s="145"/>
      <c r="X39" s="145"/>
      <c r="Y39" s="145"/>
      <c r="Z39" s="156"/>
      <c r="AA39" s="168"/>
      <c r="AB39" s="145"/>
      <c r="AC39" s="145"/>
      <c r="AD39" s="145"/>
      <c r="AE39" s="156"/>
      <c r="AF39" s="168"/>
      <c r="AG39" s="145"/>
      <c r="AH39" s="145"/>
      <c r="AI39" s="145"/>
      <c r="AJ39" s="156"/>
      <c r="AK39" s="168"/>
      <c r="AL39" s="145"/>
      <c r="AM39" s="145"/>
      <c r="AN39" s="145"/>
      <c r="AO39" s="156"/>
      <c r="AP39" s="72"/>
      <c r="AQ39" s="72"/>
      <c r="AR39" s="72"/>
      <c r="AS39" s="72"/>
      <c r="AT39" s="85"/>
      <c r="AU39" s="210"/>
      <c r="AV39" s="214"/>
      <c r="AW39" s="214"/>
      <c r="AX39" s="214"/>
      <c r="AY39" s="218"/>
    </row>
    <row r="40" spans="1:51">
      <c r="A40" s="59"/>
      <c r="B40" s="72"/>
      <c r="C40" s="72"/>
      <c r="D40" s="72"/>
      <c r="E40" s="72"/>
      <c r="F40" s="85"/>
      <c r="G40" s="99"/>
      <c r="H40" s="72"/>
      <c r="I40" s="72"/>
      <c r="J40" s="72"/>
      <c r="K40" s="116"/>
      <c r="L40" s="120"/>
      <c r="M40" s="123"/>
      <c r="N40" s="123"/>
      <c r="O40" s="123"/>
      <c r="P40" s="128"/>
      <c r="Q40" s="134"/>
      <c r="R40" s="72"/>
      <c r="S40" s="72"/>
      <c r="T40" s="72"/>
      <c r="U40" s="85"/>
      <c r="V40" s="144"/>
      <c r="W40" s="144"/>
      <c r="X40" s="144"/>
      <c r="Y40" s="144"/>
      <c r="Z40" s="155"/>
      <c r="AA40" s="169"/>
      <c r="AB40" s="144"/>
      <c r="AC40" s="144"/>
      <c r="AD40" s="144"/>
      <c r="AE40" s="155"/>
      <c r="AF40" s="169"/>
      <c r="AG40" s="144"/>
      <c r="AH40" s="144"/>
      <c r="AI40" s="144"/>
      <c r="AJ40" s="155"/>
      <c r="AK40" s="169"/>
      <c r="AL40" s="144"/>
      <c r="AM40" s="144"/>
      <c r="AN40" s="144"/>
      <c r="AO40" s="155"/>
      <c r="AP40" s="72"/>
      <c r="AQ40" s="72"/>
      <c r="AR40" s="72"/>
      <c r="AS40" s="72"/>
      <c r="AT40" s="85"/>
      <c r="AU40" s="90"/>
      <c r="AV40" s="68"/>
      <c r="AW40" s="68"/>
      <c r="AX40" s="68"/>
      <c r="AY40" s="81"/>
    </row>
    <row r="41" spans="1:51">
      <c r="A41" s="59"/>
      <c r="B41" s="72"/>
      <c r="C41" s="72"/>
      <c r="D41" s="72"/>
      <c r="E41" s="72"/>
      <c r="F41" s="85"/>
      <c r="G41" s="99"/>
      <c r="H41" s="72"/>
      <c r="I41" s="72"/>
      <c r="J41" s="72"/>
      <c r="K41" s="116"/>
      <c r="L41" s="120"/>
      <c r="M41" s="123"/>
      <c r="N41" s="123"/>
      <c r="O41" s="123"/>
      <c r="P41" s="128"/>
      <c r="Q41" s="59"/>
      <c r="R41" s="72"/>
      <c r="S41" s="72"/>
      <c r="T41" s="72"/>
      <c r="U41" s="85"/>
      <c r="V41" s="145"/>
      <c r="W41" s="145"/>
      <c r="X41" s="145"/>
      <c r="Y41" s="145"/>
      <c r="Z41" s="156"/>
      <c r="AA41" s="168"/>
      <c r="AB41" s="145"/>
      <c r="AC41" s="145"/>
      <c r="AD41" s="145"/>
      <c r="AE41" s="156"/>
      <c r="AF41" s="168"/>
      <c r="AG41" s="145"/>
      <c r="AH41" s="145"/>
      <c r="AI41" s="145"/>
      <c r="AJ41" s="156"/>
      <c r="AK41" s="168"/>
      <c r="AL41" s="145"/>
      <c r="AM41" s="145"/>
      <c r="AN41" s="145"/>
      <c r="AO41" s="156"/>
      <c r="AP41" s="72"/>
      <c r="AQ41" s="72"/>
      <c r="AR41" s="72"/>
      <c r="AS41" s="72"/>
      <c r="AT41" s="85"/>
      <c r="AU41" s="90"/>
      <c r="AV41" s="68"/>
      <c r="AW41" s="68"/>
      <c r="AX41" s="68"/>
      <c r="AY41" s="81"/>
    </row>
    <row r="42" spans="1:51">
      <c r="A42" s="59"/>
      <c r="B42" s="72"/>
      <c r="C42" s="72"/>
      <c r="D42" s="72"/>
      <c r="E42" s="72"/>
      <c r="F42" s="85"/>
      <c r="G42" s="99"/>
      <c r="H42" s="72"/>
      <c r="I42" s="72"/>
      <c r="J42" s="72"/>
      <c r="K42" s="116"/>
      <c r="L42" s="120"/>
      <c r="M42" s="123"/>
      <c r="N42" s="123"/>
      <c r="O42" s="123"/>
      <c r="P42" s="128"/>
      <c r="Q42" s="134"/>
      <c r="R42" s="72"/>
      <c r="S42" s="72"/>
      <c r="T42" s="72"/>
      <c r="U42" s="85"/>
      <c r="V42" s="147"/>
      <c r="W42" s="147"/>
      <c r="X42" s="147"/>
      <c r="Y42" s="147"/>
      <c r="Z42" s="157"/>
      <c r="AA42" s="169"/>
      <c r="AB42" s="144"/>
      <c r="AC42" s="144"/>
      <c r="AD42" s="144"/>
      <c r="AE42" s="155"/>
      <c r="AF42" s="169"/>
      <c r="AG42" s="144"/>
      <c r="AH42" s="144"/>
      <c r="AI42" s="144"/>
      <c r="AJ42" s="155"/>
      <c r="AK42" s="172"/>
      <c r="AL42" s="147"/>
      <c r="AM42" s="147"/>
      <c r="AN42" s="147"/>
      <c r="AO42" s="157"/>
      <c r="AP42" s="68"/>
      <c r="AQ42" s="68"/>
      <c r="AR42" s="68"/>
      <c r="AS42" s="68"/>
      <c r="AT42" s="81"/>
      <c r="AU42" s="90"/>
      <c r="AV42" s="68"/>
      <c r="AW42" s="68"/>
      <c r="AX42" s="68"/>
      <c r="AY42" s="81"/>
    </row>
    <row r="43" spans="1:51">
      <c r="A43" s="59"/>
      <c r="B43" s="72"/>
      <c r="C43" s="72"/>
      <c r="D43" s="72"/>
      <c r="E43" s="72"/>
      <c r="F43" s="85"/>
      <c r="G43" s="99"/>
      <c r="H43" s="72"/>
      <c r="I43" s="72"/>
      <c r="J43" s="72"/>
      <c r="K43" s="116"/>
      <c r="L43" s="120"/>
      <c r="M43" s="123"/>
      <c r="N43" s="123"/>
      <c r="O43" s="123"/>
      <c r="P43" s="128"/>
      <c r="Q43" s="59"/>
      <c r="R43" s="72"/>
      <c r="S43" s="72"/>
      <c r="T43" s="72"/>
      <c r="U43" s="85"/>
      <c r="V43" s="148"/>
      <c r="W43" s="148"/>
      <c r="X43" s="148"/>
      <c r="Y43" s="148"/>
      <c r="Z43" s="89"/>
      <c r="AA43" s="168"/>
      <c r="AB43" s="145"/>
      <c r="AC43" s="145"/>
      <c r="AD43" s="145"/>
      <c r="AE43" s="156"/>
      <c r="AF43" s="168"/>
      <c r="AG43" s="145"/>
      <c r="AH43" s="145"/>
      <c r="AI43" s="145"/>
      <c r="AJ43" s="156"/>
      <c r="AK43" s="173"/>
      <c r="AL43" s="148"/>
      <c r="AM43" s="148"/>
      <c r="AN43" s="148"/>
      <c r="AO43" s="89"/>
      <c r="AP43" s="68"/>
      <c r="AQ43" s="68"/>
      <c r="AR43" s="68"/>
      <c r="AS43" s="68"/>
      <c r="AT43" s="81"/>
      <c r="AU43" s="90"/>
      <c r="AV43" s="68"/>
      <c r="AW43" s="68"/>
      <c r="AX43" s="68"/>
      <c r="AY43" s="81"/>
    </row>
    <row r="44" spans="1:51">
      <c r="A44" s="55"/>
      <c r="B44" s="68"/>
      <c r="C44" s="68"/>
      <c r="D44" s="68"/>
      <c r="E44" s="68"/>
      <c r="F44" s="81"/>
      <c r="G44" s="90"/>
      <c r="H44" s="68"/>
      <c r="I44" s="68"/>
      <c r="J44" s="68"/>
      <c r="K44" s="117"/>
      <c r="L44" s="121"/>
      <c r="M44" s="103"/>
      <c r="N44" s="103"/>
      <c r="O44" s="103"/>
      <c r="P44" s="129"/>
      <c r="Q44" s="55"/>
      <c r="R44" s="68"/>
      <c r="S44" s="68"/>
      <c r="T44" s="68"/>
      <c r="U44" s="81"/>
      <c r="V44" s="147"/>
      <c r="W44" s="147"/>
      <c r="X44" s="147"/>
      <c r="Y44" s="147"/>
      <c r="Z44" s="157"/>
      <c r="AA44" s="170"/>
      <c r="AB44" s="177"/>
      <c r="AC44" s="177"/>
      <c r="AD44" s="177"/>
      <c r="AE44" s="181"/>
      <c r="AF44" s="172"/>
      <c r="AG44" s="147"/>
      <c r="AH44" s="147"/>
      <c r="AI44" s="147"/>
      <c r="AJ44" s="157"/>
      <c r="AK44" s="172"/>
      <c r="AL44" s="147"/>
      <c r="AM44" s="147"/>
      <c r="AN44" s="147"/>
      <c r="AO44" s="157"/>
      <c r="AP44" s="68"/>
      <c r="AQ44" s="68"/>
      <c r="AR44" s="68"/>
      <c r="AS44" s="68"/>
      <c r="AT44" s="81"/>
      <c r="AU44" s="90"/>
      <c r="AV44" s="68"/>
      <c r="AW44" s="68"/>
      <c r="AX44" s="68"/>
      <c r="AY44" s="81"/>
    </row>
    <row r="45" spans="1:51">
      <c r="A45" s="55"/>
      <c r="B45" s="68"/>
      <c r="C45" s="68"/>
      <c r="D45" s="68"/>
      <c r="E45" s="68"/>
      <c r="F45" s="81"/>
      <c r="G45" s="90"/>
      <c r="H45" s="68"/>
      <c r="I45" s="68"/>
      <c r="J45" s="68"/>
      <c r="K45" s="117"/>
      <c r="L45" s="121"/>
      <c r="M45" s="103"/>
      <c r="N45" s="103"/>
      <c r="O45" s="103"/>
      <c r="P45" s="129"/>
      <c r="Q45" s="55"/>
      <c r="R45" s="68"/>
      <c r="S45" s="68"/>
      <c r="T45" s="68"/>
      <c r="U45" s="81"/>
      <c r="V45" s="148"/>
      <c r="W45" s="148"/>
      <c r="X45" s="148"/>
      <c r="Y45" s="148"/>
      <c r="Z45" s="89"/>
      <c r="AA45" s="171"/>
      <c r="AB45" s="178"/>
      <c r="AC45" s="178"/>
      <c r="AD45" s="178"/>
      <c r="AE45" s="182"/>
      <c r="AF45" s="173"/>
      <c r="AG45" s="148"/>
      <c r="AH45" s="148"/>
      <c r="AI45" s="148"/>
      <c r="AJ45" s="89"/>
      <c r="AK45" s="173"/>
      <c r="AL45" s="148"/>
      <c r="AM45" s="148"/>
      <c r="AN45" s="148"/>
      <c r="AO45" s="89"/>
      <c r="AP45" s="68"/>
      <c r="AQ45" s="68"/>
      <c r="AR45" s="68"/>
      <c r="AS45" s="68"/>
      <c r="AT45" s="81"/>
      <c r="AU45" s="90"/>
      <c r="AV45" s="68"/>
      <c r="AW45" s="68"/>
      <c r="AX45" s="68"/>
      <c r="AY45" s="81"/>
    </row>
    <row r="46" spans="1:51">
      <c r="A46" s="55"/>
      <c r="B46" s="68"/>
      <c r="C46" s="68"/>
      <c r="D46" s="68"/>
      <c r="E46" s="68"/>
      <c r="F46" s="81"/>
      <c r="G46" s="90"/>
      <c r="H46" s="68"/>
      <c r="I46" s="68"/>
      <c r="J46" s="68"/>
      <c r="K46" s="117"/>
      <c r="L46" s="121"/>
      <c r="M46" s="103"/>
      <c r="N46" s="103"/>
      <c r="O46" s="103"/>
      <c r="P46" s="129"/>
      <c r="Q46" s="55"/>
      <c r="R46" s="68"/>
      <c r="S46" s="68"/>
      <c r="T46" s="68"/>
      <c r="U46" s="81"/>
      <c r="V46" s="147"/>
      <c r="W46" s="147"/>
      <c r="X46" s="147"/>
      <c r="Y46" s="147"/>
      <c r="Z46" s="157"/>
      <c r="AA46" s="172"/>
      <c r="AB46" s="147"/>
      <c r="AC46" s="147"/>
      <c r="AD46" s="147"/>
      <c r="AE46" s="157"/>
      <c r="AF46" s="172"/>
      <c r="AG46" s="147"/>
      <c r="AH46" s="147"/>
      <c r="AI46" s="147"/>
      <c r="AJ46" s="157"/>
      <c r="AK46" s="172"/>
      <c r="AL46" s="147"/>
      <c r="AM46" s="147"/>
      <c r="AN46" s="147"/>
      <c r="AO46" s="157"/>
      <c r="AP46" s="68"/>
      <c r="AQ46" s="68"/>
      <c r="AR46" s="68"/>
      <c r="AS46" s="68"/>
      <c r="AT46" s="81"/>
      <c r="AU46" s="90"/>
      <c r="AV46" s="68"/>
      <c r="AW46" s="68"/>
      <c r="AX46" s="68"/>
      <c r="AY46" s="81"/>
    </row>
    <row r="47" spans="1:51">
      <c r="A47" s="55"/>
      <c r="B47" s="68"/>
      <c r="C47" s="68"/>
      <c r="D47" s="68"/>
      <c r="E47" s="68"/>
      <c r="F47" s="81"/>
      <c r="G47" s="90"/>
      <c r="H47" s="68"/>
      <c r="I47" s="68"/>
      <c r="J47" s="68"/>
      <c r="K47" s="117"/>
      <c r="L47" s="121"/>
      <c r="M47" s="103"/>
      <c r="N47" s="103"/>
      <c r="O47" s="103"/>
      <c r="P47" s="129"/>
      <c r="Q47" s="55"/>
      <c r="R47" s="68"/>
      <c r="S47" s="68"/>
      <c r="T47" s="68"/>
      <c r="U47" s="81"/>
      <c r="V47" s="148"/>
      <c r="W47" s="148"/>
      <c r="X47" s="148"/>
      <c r="Y47" s="148"/>
      <c r="Z47" s="89"/>
      <c r="AA47" s="173"/>
      <c r="AB47" s="148"/>
      <c r="AC47" s="148"/>
      <c r="AD47" s="148"/>
      <c r="AE47" s="89"/>
      <c r="AF47" s="173"/>
      <c r="AG47" s="148"/>
      <c r="AH47" s="148"/>
      <c r="AI47" s="148"/>
      <c r="AJ47" s="89"/>
      <c r="AK47" s="173"/>
      <c r="AL47" s="148"/>
      <c r="AM47" s="148"/>
      <c r="AN47" s="148"/>
      <c r="AO47" s="89"/>
      <c r="AP47" s="68"/>
      <c r="AQ47" s="68"/>
      <c r="AR47" s="68"/>
      <c r="AS47" s="68"/>
      <c r="AT47" s="81"/>
      <c r="AU47" s="90"/>
      <c r="AV47" s="68"/>
      <c r="AW47" s="68"/>
      <c r="AX47" s="68"/>
      <c r="AY47" s="81"/>
    </row>
    <row r="48" spans="1:51">
      <c r="A48" s="55"/>
      <c r="B48" s="68"/>
      <c r="C48" s="68"/>
      <c r="D48" s="68"/>
      <c r="E48" s="68"/>
      <c r="F48" s="81"/>
      <c r="G48" s="90"/>
      <c r="H48" s="68"/>
      <c r="I48" s="68"/>
      <c r="J48" s="68"/>
      <c r="K48" s="117"/>
      <c r="L48" s="121"/>
      <c r="M48" s="103"/>
      <c r="N48" s="103"/>
      <c r="O48" s="103"/>
      <c r="P48" s="129"/>
      <c r="Q48" s="55"/>
      <c r="R48" s="68"/>
      <c r="S48" s="68"/>
      <c r="T48" s="68"/>
      <c r="U48" s="81"/>
      <c r="V48" s="147"/>
      <c r="W48" s="147"/>
      <c r="X48" s="147"/>
      <c r="Y48" s="147"/>
      <c r="Z48" s="157"/>
      <c r="AA48" s="172"/>
      <c r="AB48" s="147"/>
      <c r="AC48" s="147"/>
      <c r="AD48" s="147"/>
      <c r="AE48" s="157"/>
      <c r="AF48" s="172"/>
      <c r="AG48" s="147"/>
      <c r="AH48" s="147"/>
      <c r="AI48" s="147"/>
      <c r="AJ48" s="157"/>
      <c r="AK48" s="172"/>
      <c r="AL48" s="147"/>
      <c r="AM48" s="147"/>
      <c r="AN48" s="147"/>
      <c r="AO48" s="157"/>
      <c r="AP48" s="68"/>
      <c r="AQ48" s="68"/>
      <c r="AR48" s="68"/>
      <c r="AS48" s="68"/>
      <c r="AT48" s="81"/>
      <c r="AU48" s="90"/>
      <c r="AV48" s="68"/>
      <c r="AW48" s="68"/>
      <c r="AX48" s="68"/>
      <c r="AY48" s="81"/>
    </row>
    <row r="49" spans="1:51">
      <c r="A49" s="55"/>
      <c r="B49" s="68"/>
      <c r="C49" s="68"/>
      <c r="D49" s="68"/>
      <c r="E49" s="68"/>
      <c r="F49" s="81"/>
      <c r="G49" s="90"/>
      <c r="H49" s="68"/>
      <c r="I49" s="68"/>
      <c r="J49" s="68"/>
      <c r="K49" s="117"/>
      <c r="L49" s="121"/>
      <c r="M49" s="103"/>
      <c r="N49" s="103"/>
      <c r="O49" s="103"/>
      <c r="P49" s="129"/>
      <c r="Q49" s="55"/>
      <c r="R49" s="68"/>
      <c r="S49" s="68"/>
      <c r="T49" s="68"/>
      <c r="U49" s="81"/>
      <c r="V49" s="148"/>
      <c r="W49" s="148"/>
      <c r="X49" s="148"/>
      <c r="Y49" s="148"/>
      <c r="Z49" s="89"/>
      <c r="AA49" s="173"/>
      <c r="AB49" s="148"/>
      <c r="AC49" s="148"/>
      <c r="AD49" s="148"/>
      <c r="AE49" s="89"/>
      <c r="AF49" s="173"/>
      <c r="AG49" s="148"/>
      <c r="AH49" s="148"/>
      <c r="AI49" s="148"/>
      <c r="AJ49" s="89"/>
      <c r="AK49" s="173"/>
      <c r="AL49" s="148"/>
      <c r="AM49" s="148"/>
      <c r="AN49" s="148"/>
      <c r="AO49" s="89"/>
      <c r="AP49" s="68"/>
      <c r="AQ49" s="68"/>
      <c r="AR49" s="68"/>
      <c r="AS49" s="68"/>
      <c r="AT49" s="81"/>
      <c r="AU49" s="90"/>
      <c r="AV49" s="68"/>
      <c r="AW49" s="68"/>
      <c r="AX49" s="68"/>
      <c r="AY49" s="81"/>
    </row>
    <row r="50" spans="1:51" ht="18.75" customHeight="1">
      <c r="A50" s="55"/>
      <c r="B50" s="68"/>
      <c r="C50" s="68"/>
      <c r="D50" s="68"/>
      <c r="E50" s="68"/>
      <c r="F50" s="81"/>
      <c r="G50" s="90"/>
      <c r="H50" s="68"/>
      <c r="I50" s="68"/>
      <c r="J50" s="68"/>
      <c r="K50" s="117"/>
      <c r="L50" s="121"/>
      <c r="M50" s="103"/>
      <c r="N50" s="103"/>
      <c r="O50" s="103"/>
      <c r="P50" s="129"/>
      <c r="Q50" s="55"/>
      <c r="R50" s="68"/>
      <c r="S50" s="68"/>
      <c r="T50" s="68"/>
      <c r="U50" s="81"/>
      <c r="V50" s="147"/>
      <c r="W50" s="147"/>
      <c r="X50" s="147"/>
      <c r="Y50" s="147"/>
      <c r="Z50" s="157"/>
      <c r="AA50" s="172"/>
      <c r="AB50" s="147"/>
      <c r="AC50" s="147"/>
      <c r="AD50" s="147"/>
      <c r="AE50" s="157"/>
      <c r="AF50" s="172"/>
      <c r="AG50" s="147"/>
      <c r="AH50" s="147"/>
      <c r="AI50" s="147"/>
      <c r="AJ50" s="157"/>
      <c r="AK50" s="172"/>
      <c r="AL50" s="147"/>
      <c r="AM50" s="147"/>
      <c r="AN50" s="147"/>
      <c r="AO50" s="157"/>
      <c r="AP50" s="68"/>
      <c r="AQ50" s="68"/>
      <c r="AR50" s="68"/>
      <c r="AS50" s="68"/>
      <c r="AT50" s="81"/>
      <c r="AU50" s="90"/>
      <c r="AV50" s="68"/>
      <c r="AW50" s="68"/>
      <c r="AX50" s="68"/>
      <c r="AY50" s="81"/>
    </row>
    <row r="51" spans="1:51" ht="19.5" customHeight="1">
      <c r="A51" s="56"/>
      <c r="B51" s="69"/>
      <c r="C51" s="69"/>
      <c r="D51" s="69"/>
      <c r="E51" s="69"/>
      <c r="F51" s="82"/>
      <c r="G51" s="93"/>
      <c r="H51" s="69"/>
      <c r="I51" s="69"/>
      <c r="J51" s="69"/>
      <c r="K51" s="118"/>
      <c r="L51" s="122"/>
      <c r="M51" s="124"/>
      <c r="N51" s="124"/>
      <c r="O51" s="124"/>
      <c r="P51" s="130"/>
      <c r="Q51" s="56"/>
      <c r="R51" s="69"/>
      <c r="S51" s="69"/>
      <c r="T51" s="69"/>
      <c r="U51" s="82"/>
      <c r="V51" s="149"/>
      <c r="W51" s="149"/>
      <c r="X51" s="149"/>
      <c r="Y51" s="149"/>
      <c r="Z51" s="158"/>
      <c r="AA51" s="174"/>
      <c r="AB51" s="149"/>
      <c r="AC51" s="149"/>
      <c r="AD51" s="149"/>
      <c r="AE51" s="158"/>
      <c r="AF51" s="174"/>
      <c r="AG51" s="149"/>
      <c r="AH51" s="149"/>
      <c r="AI51" s="149"/>
      <c r="AJ51" s="158"/>
      <c r="AK51" s="174"/>
      <c r="AL51" s="149"/>
      <c r="AM51" s="149"/>
      <c r="AN51" s="149"/>
      <c r="AO51" s="158"/>
      <c r="AP51" s="69"/>
      <c r="AQ51" s="69"/>
      <c r="AR51" s="69"/>
      <c r="AS51" s="69"/>
      <c r="AT51" s="82"/>
      <c r="AU51" s="93"/>
      <c r="AV51" s="69"/>
      <c r="AW51" s="69"/>
      <c r="AX51" s="69"/>
      <c r="AY51" s="82"/>
    </row>
    <row r="52" spans="1:51">
      <c r="B52" s="1" t="s">
        <v>68</v>
      </c>
      <c r="C52" s="1" t="s">
        <v>80</v>
      </c>
    </row>
    <row r="53" spans="1:51">
      <c r="C53" s="1" t="s">
        <v>19</v>
      </c>
    </row>
    <row r="54" spans="1:51">
      <c r="C54" s="1" t="s">
        <v>83</v>
      </c>
    </row>
    <row r="55" spans="1:51">
      <c r="C55" s="1" t="s">
        <v>86</v>
      </c>
    </row>
    <row r="56" spans="1:51">
      <c r="C56" s="1" t="s">
        <v>87</v>
      </c>
    </row>
  </sheetData>
  <mergeCells count="220">
    <mergeCell ref="A3:F5"/>
    <mergeCell ref="G3:K5"/>
    <mergeCell ref="L3:P5"/>
    <mergeCell ref="Q3:U5"/>
    <mergeCell ref="V3:Z5"/>
    <mergeCell ref="AA3:AE5"/>
    <mergeCell ref="AF3:AJ5"/>
    <mergeCell ref="AK3:AO5"/>
    <mergeCell ref="AP3:AT5"/>
    <mergeCell ref="AU3:AY5"/>
    <mergeCell ref="A6:F7"/>
    <mergeCell ref="G6:K7"/>
    <mergeCell ref="L6:P7"/>
    <mergeCell ref="Q6:U7"/>
    <mergeCell ref="V6:Z7"/>
    <mergeCell ref="AA6:AE7"/>
    <mergeCell ref="AF6:AJ7"/>
    <mergeCell ref="AK6:AO7"/>
    <mergeCell ref="AP6:AT7"/>
    <mergeCell ref="AU6:AY7"/>
    <mergeCell ref="A8:F9"/>
    <mergeCell ref="G8:K9"/>
    <mergeCell ref="L8:P9"/>
    <mergeCell ref="Q8:U9"/>
    <mergeCell ref="V8:Z9"/>
    <mergeCell ref="AA8:AE9"/>
    <mergeCell ref="AF8:AJ9"/>
    <mergeCell ref="AK8:AO9"/>
    <mergeCell ref="AP8:AT9"/>
    <mergeCell ref="AU8:AY9"/>
    <mergeCell ref="A10:F11"/>
    <mergeCell ref="G10:K11"/>
    <mergeCell ref="L10:P11"/>
    <mergeCell ref="Q10:U11"/>
    <mergeCell ref="V10:Z11"/>
    <mergeCell ref="AA10:AE11"/>
    <mergeCell ref="AF10:AJ11"/>
    <mergeCell ref="AK10:AO11"/>
    <mergeCell ref="AP10:AT11"/>
    <mergeCell ref="AU10:AY11"/>
    <mergeCell ref="A12:F13"/>
    <mergeCell ref="G12:K13"/>
    <mergeCell ref="L12:P13"/>
    <mergeCell ref="Q12:U13"/>
    <mergeCell ref="V12:Z13"/>
    <mergeCell ref="AA12:AE13"/>
    <mergeCell ref="AF12:AJ13"/>
    <mergeCell ref="AK12:AO13"/>
    <mergeCell ref="AP12:AT13"/>
    <mergeCell ref="AU12:AY13"/>
    <mergeCell ref="A14:F15"/>
    <mergeCell ref="G14:K15"/>
    <mergeCell ref="L14:P15"/>
    <mergeCell ref="Q14:U15"/>
    <mergeCell ref="V14:Z15"/>
    <mergeCell ref="AA14:AE15"/>
    <mergeCell ref="AF14:AJ15"/>
    <mergeCell ref="AK14:AO15"/>
    <mergeCell ref="AP14:AT15"/>
    <mergeCell ref="AU14:AY15"/>
    <mergeCell ref="A16:F17"/>
    <mergeCell ref="G16:K17"/>
    <mergeCell ref="L16:P17"/>
    <mergeCell ref="Q16:U17"/>
    <mergeCell ref="V16:Z17"/>
    <mergeCell ref="AA16:AE17"/>
    <mergeCell ref="AF16:AJ17"/>
    <mergeCell ref="AK16:AO17"/>
    <mergeCell ref="AP16:AT17"/>
    <mergeCell ref="AU16:AY17"/>
    <mergeCell ref="A18:F19"/>
    <mergeCell ref="G18:K19"/>
    <mergeCell ref="L18:P19"/>
    <mergeCell ref="Q18:U19"/>
    <mergeCell ref="V18:Z19"/>
    <mergeCell ref="AA18:AE19"/>
    <mergeCell ref="AF18:AJ19"/>
    <mergeCell ref="AK18:AO19"/>
    <mergeCell ref="AP18:AT19"/>
    <mergeCell ref="AU18:AY19"/>
    <mergeCell ref="A20:F21"/>
    <mergeCell ref="G20:K21"/>
    <mergeCell ref="L20:P21"/>
    <mergeCell ref="Q20:U21"/>
    <mergeCell ref="V20:Z21"/>
    <mergeCell ref="AA20:AE21"/>
    <mergeCell ref="AF20:AJ21"/>
    <mergeCell ref="AK20:AO21"/>
    <mergeCell ref="AP20:AT21"/>
    <mergeCell ref="AU20:AY21"/>
    <mergeCell ref="A22:F23"/>
    <mergeCell ref="G22:K23"/>
    <mergeCell ref="L22:P23"/>
    <mergeCell ref="Q22:U23"/>
    <mergeCell ref="V22:Z23"/>
    <mergeCell ref="AA22:AE23"/>
    <mergeCell ref="AF22:AJ23"/>
    <mergeCell ref="AK22:AO23"/>
    <mergeCell ref="AP22:AT23"/>
    <mergeCell ref="AU22:AY23"/>
    <mergeCell ref="A24:F25"/>
    <mergeCell ref="G24:K25"/>
    <mergeCell ref="L24:P25"/>
    <mergeCell ref="Q24:U25"/>
    <mergeCell ref="V24:Z25"/>
    <mergeCell ref="AA24:AE25"/>
    <mergeCell ref="AF24:AJ25"/>
    <mergeCell ref="AK24:AO25"/>
    <mergeCell ref="AP24:AT25"/>
    <mergeCell ref="AU24:AY25"/>
    <mergeCell ref="A29:F31"/>
    <mergeCell ref="G29:K31"/>
    <mergeCell ref="L29:P31"/>
    <mergeCell ref="Q29:U31"/>
    <mergeCell ref="V29:Z31"/>
    <mergeCell ref="AA29:AE31"/>
    <mergeCell ref="AF29:AJ31"/>
    <mergeCell ref="AK29:AO31"/>
    <mergeCell ref="AP29:AT31"/>
    <mergeCell ref="AU29:AY31"/>
    <mergeCell ref="A32:F33"/>
    <mergeCell ref="G32:K33"/>
    <mergeCell ref="L32:P33"/>
    <mergeCell ref="Q32:U33"/>
    <mergeCell ref="V32:Z33"/>
    <mergeCell ref="AA32:AE33"/>
    <mergeCell ref="AF32:AJ33"/>
    <mergeCell ref="AK32:AO33"/>
    <mergeCell ref="AP32:AT33"/>
    <mergeCell ref="AU32:AY33"/>
    <mergeCell ref="A34:F35"/>
    <mergeCell ref="G34:K35"/>
    <mergeCell ref="L34:P35"/>
    <mergeCell ref="Q34:U35"/>
    <mergeCell ref="V34:Z35"/>
    <mergeCell ref="AA34:AE35"/>
    <mergeCell ref="AF34:AJ35"/>
    <mergeCell ref="AK34:AO35"/>
    <mergeCell ref="AP34:AT35"/>
    <mergeCell ref="AU34:AY35"/>
    <mergeCell ref="A36:F37"/>
    <mergeCell ref="G36:K37"/>
    <mergeCell ref="L36:P37"/>
    <mergeCell ref="Q36:U37"/>
    <mergeCell ref="V36:Z37"/>
    <mergeCell ref="AA36:AE37"/>
    <mergeCell ref="AF36:AJ37"/>
    <mergeCell ref="AK36:AO37"/>
    <mergeCell ref="AP36:AT37"/>
    <mergeCell ref="AU36:AY37"/>
    <mergeCell ref="A38:F39"/>
    <mergeCell ref="G38:K39"/>
    <mergeCell ref="L38:P39"/>
    <mergeCell ref="Q38:U39"/>
    <mergeCell ref="V38:Z39"/>
    <mergeCell ref="AA38:AE39"/>
    <mergeCell ref="AF38:AJ39"/>
    <mergeCell ref="AK38:AO39"/>
    <mergeCell ref="AP38:AT39"/>
    <mergeCell ref="AU38:AY39"/>
    <mergeCell ref="A40:F41"/>
    <mergeCell ref="G40:K41"/>
    <mergeCell ref="L40:P41"/>
    <mergeCell ref="Q40:U41"/>
    <mergeCell ref="V40:Z41"/>
    <mergeCell ref="AA40:AE41"/>
    <mergeCell ref="AF40:AJ41"/>
    <mergeCell ref="AK40:AO41"/>
    <mergeCell ref="AP40:AT41"/>
    <mergeCell ref="AU40:AY41"/>
    <mergeCell ref="A42:F43"/>
    <mergeCell ref="G42:K43"/>
    <mergeCell ref="L42:P43"/>
    <mergeCell ref="Q42:U43"/>
    <mergeCell ref="V42:Z43"/>
    <mergeCell ref="AA42:AE43"/>
    <mergeCell ref="AF42:AJ43"/>
    <mergeCell ref="AK42:AO43"/>
    <mergeCell ref="AP42:AT43"/>
    <mergeCell ref="AU42:AY43"/>
    <mergeCell ref="A44:F45"/>
    <mergeCell ref="G44:K45"/>
    <mergeCell ref="L44:P45"/>
    <mergeCell ref="Q44:U45"/>
    <mergeCell ref="V44:Z45"/>
    <mergeCell ref="AA44:AE45"/>
    <mergeCell ref="AF44:AJ45"/>
    <mergeCell ref="AK44:AO45"/>
    <mergeCell ref="AP44:AT45"/>
    <mergeCell ref="AU44:AY45"/>
    <mergeCell ref="A46:F47"/>
    <mergeCell ref="G46:K47"/>
    <mergeCell ref="L46:P47"/>
    <mergeCell ref="Q46:U47"/>
    <mergeCell ref="V46:Z47"/>
    <mergeCell ref="AA46:AE47"/>
    <mergeCell ref="AF46:AJ47"/>
    <mergeCell ref="AK46:AO47"/>
    <mergeCell ref="AP46:AT47"/>
    <mergeCell ref="AU46:AY47"/>
    <mergeCell ref="A48:F49"/>
    <mergeCell ref="G48:K49"/>
    <mergeCell ref="L48:P49"/>
    <mergeCell ref="Q48:U49"/>
    <mergeCell ref="V48:Z49"/>
    <mergeCell ref="AA48:AE49"/>
    <mergeCell ref="AF48:AJ49"/>
    <mergeCell ref="AK48:AO49"/>
    <mergeCell ref="AP48:AT49"/>
    <mergeCell ref="AU48:AY49"/>
    <mergeCell ref="A50:F51"/>
    <mergeCell ref="G50:K51"/>
    <mergeCell ref="L50:P51"/>
    <mergeCell ref="Q50:U51"/>
    <mergeCell ref="V50:Z51"/>
    <mergeCell ref="AA50:AE51"/>
    <mergeCell ref="AF50:AJ51"/>
    <mergeCell ref="AK50:AO51"/>
    <mergeCell ref="AP50:AT51"/>
    <mergeCell ref="AU50:AY51"/>
  </mergeCells>
  <phoneticPr fontId="1"/>
  <pageMargins left="0.62992125984251968" right="0.23622047244094491" top="0.15748031496062992" bottom="0.15748031496062992" header="0" footer="0"/>
  <pageSetup paperSize="9" scale="73"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J55"/>
  <sheetViews>
    <sheetView showGridLines="0" view="pageBreakPreview" zoomScale="60" zoomScaleNormal="70" workbookViewId="0">
      <selection activeCell="D23" sqref="D23"/>
    </sheetView>
  </sheetViews>
  <sheetFormatPr defaultRowHeight="13.5"/>
  <cols>
    <col min="1" max="1" width="18.375" customWidth="1"/>
    <col min="2" max="2" width="19.75" customWidth="1"/>
    <col min="3" max="3" width="44.75" customWidth="1"/>
    <col min="4" max="4" width="11.875" customWidth="1"/>
    <col min="5" max="9" width="16.125" customWidth="1"/>
    <col min="10" max="10" width="16.625" customWidth="1"/>
  </cols>
  <sheetData>
    <row r="1" spans="1:10" ht="21">
      <c r="A1" s="35" t="s">
        <v>47</v>
      </c>
      <c r="B1" s="223"/>
    </row>
    <row r="2" spans="1:10" ht="24" customHeight="1">
      <c r="E2" s="231" t="s">
        <v>512</v>
      </c>
      <c r="F2" s="231"/>
      <c r="G2" s="231"/>
      <c r="H2" s="231"/>
      <c r="I2" s="231"/>
    </row>
    <row r="3" spans="1:10" ht="34.5" customHeight="1">
      <c r="A3" s="219" t="s">
        <v>45</v>
      </c>
      <c r="B3" s="219" t="s">
        <v>26</v>
      </c>
      <c r="C3" s="219" t="s">
        <v>66</v>
      </c>
      <c r="D3" s="230" t="s">
        <v>550</v>
      </c>
      <c r="E3" s="219" t="s">
        <v>48</v>
      </c>
      <c r="F3" s="219" t="s">
        <v>0</v>
      </c>
      <c r="G3" s="219" t="s">
        <v>42</v>
      </c>
      <c r="H3" s="230" t="s">
        <v>55</v>
      </c>
      <c r="I3" s="219" t="s">
        <v>61</v>
      </c>
      <c r="J3" s="230" t="s">
        <v>551</v>
      </c>
    </row>
    <row r="4" spans="1:10" ht="50.25" customHeight="1">
      <c r="A4" s="220"/>
      <c r="B4" s="224"/>
      <c r="C4" s="227"/>
      <c r="D4" s="102"/>
      <c r="E4" s="232"/>
      <c r="F4" s="102"/>
      <c r="G4" s="102"/>
      <c r="H4" s="234"/>
      <c r="I4" s="102"/>
      <c r="J4" s="102"/>
    </row>
    <row r="5" spans="1:10" ht="30" customHeight="1">
      <c r="A5" s="221"/>
      <c r="B5" s="224"/>
      <c r="C5" s="32"/>
      <c r="D5" s="68"/>
      <c r="E5" s="233"/>
      <c r="F5" s="68"/>
      <c r="G5" s="214"/>
      <c r="H5" s="214"/>
      <c r="I5" s="68"/>
      <c r="J5" s="68"/>
    </row>
    <row r="6" spans="1:10" ht="30" customHeight="1">
      <c r="A6" s="221"/>
      <c r="B6" s="224"/>
      <c r="C6" s="32"/>
      <c r="D6" s="68"/>
      <c r="E6" s="233"/>
      <c r="F6" s="68"/>
      <c r="G6" s="233"/>
      <c r="H6" s="214"/>
      <c r="I6" s="68"/>
      <c r="J6" s="68"/>
    </row>
    <row r="7" spans="1:10" ht="30" customHeight="1">
      <c r="A7" s="221"/>
      <c r="B7" s="224"/>
      <c r="C7" s="32"/>
      <c r="D7" s="68"/>
      <c r="E7" s="233"/>
      <c r="F7" s="68"/>
      <c r="G7" s="214"/>
      <c r="H7" s="214"/>
      <c r="I7" s="68"/>
      <c r="J7" s="68"/>
    </row>
    <row r="8" spans="1:10" ht="30" customHeight="1">
      <c r="A8" s="221"/>
      <c r="B8" s="221"/>
      <c r="C8" s="32"/>
      <c r="D8" s="68"/>
      <c r="E8" s="233"/>
      <c r="F8" s="68"/>
      <c r="G8" s="233"/>
      <c r="H8" s="214"/>
      <c r="I8" s="68"/>
      <c r="J8" s="68"/>
    </row>
    <row r="9" spans="1:10" ht="30" customHeight="1">
      <c r="A9" s="221"/>
      <c r="B9" s="221"/>
      <c r="C9" s="32"/>
      <c r="D9" s="68"/>
      <c r="E9" s="68"/>
      <c r="F9" s="68"/>
      <c r="G9" s="68"/>
      <c r="H9" s="214"/>
      <c r="I9" s="68"/>
      <c r="J9" s="68"/>
    </row>
    <row r="10" spans="1:10" ht="30" customHeight="1">
      <c r="A10" s="221"/>
      <c r="B10" s="225"/>
      <c r="C10" s="228"/>
      <c r="D10" s="68"/>
      <c r="E10" s="68"/>
      <c r="F10" s="68"/>
      <c r="G10" s="233"/>
      <c r="H10" s="233"/>
      <c r="I10" s="68"/>
      <c r="J10" s="68"/>
    </row>
    <row r="11" spans="1:10" ht="30" customHeight="1">
      <c r="A11" s="221"/>
      <c r="B11" s="221"/>
      <c r="C11" s="228"/>
      <c r="D11" s="68"/>
      <c r="E11" s="68"/>
      <c r="F11" s="68"/>
      <c r="G11" s="68"/>
      <c r="H11" s="214"/>
      <c r="I11" s="68"/>
      <c r="J11" s="68"/>
    </row>
    <row r="12" spans="1:10" ht="30" customHeight="1">
      <c r="A12" s="221"/>
      <c r="B12" s="221"/>
      <c r="C12" s="228"/>
      <c r="D12" s="68"/>
      <c r="E12" s="68"/>
      <c r="F12" s="68"/>
      <c r="G12" s="68"/>
      <c r="H12" s="214"/>
      <c r="I12" s="68"/>
      <c r="J12" s="68"/>
    </row>
    <row r="13" spans="1:10" ht="30" customHeight="1">
      <c r="A13" s="221"/>
      <c r="B13" s="221"/>
      <c r="C13" s="32"/>
      <c r="D13" s="68"/>
      <c r="E13" s="68"/>
      <c r="F13" s="68"/>
      <c r="G13" s="68"/>
      <c r="H13" s="214"/>
      <c r="I13" s="68"/>
      <c r="J13" s="68"/>
    </row>
    <row r="14" spans="1:10" ht="30" customHeight="1">
      <c r="A14" s="221"/>
      <c r="B14" s="221"/>
      <c r="C14" s="32"/>
      <c r="D14" s="68"/>
      <c r="E14" s="68"/>
      <c r="F14" s="68"/>
      <c r="G14" s="68"/>
      <c r="H14" s="214"/>
      <c r="I14" s="68"/>
      <c r="J14" s="68"/>
    </row>
    <row r="15" spans="1:10" ht="30" customHeight="1">
      <c r="A15" s="221"/>
      <c r="B15" s="221"/>
      <c r="C15" s="228"/>
      <c r="D15" s="68"/>
      <c r="E15" s="68"/>
      <c r="F15" s="68"/>
      <c r="G15" s="68"/>
      <c r="H15" s="214"/>
      <c r="I15" s="68"/>
      <c r="J15" s="68"/>
    </row>
    <row r="16" spans="1:10" ht="30" customHeight="1">
      <c r="A16" s="221"/>
      <c r="B16" s="221"/>
      <c r="C16" s="229"/>
      <c r="D16" s="68"/>
      <c r="E16" s="68"/>
      <c r="F16" s="68"/>
      <c r="G16" s="68"/>
      <c r="H16" s="214"/>
      <c r="I16" s="68"/>
      <c r="J16" s="68"/>
    </row>
    <row r="17" spans="1:10" ht="30" customHeight="1">
      <c r="A17" s="221"/>
      <c r="B17" s="221"/>
      <c r="C17" s="229"/>
      <c r="D17" s="68"/>
      <c r="E17" s="68"/>
      <c r="F17" s="68"/>
      <c r="G17" s="68"/>
      <c r="H17" s="214"/>
      <c r="I17" s="68"/>
      <c r="J17" s="68"/>
    </row>
    <row r="18" spans="1:10" ht="30" customHeight="1">
      <c r="A18" s="221"/>
      <c r="B18" s="221"/>
      <c r="C18" s="229"/>
      <c r="D18" s="68"/>
      <c r="E18" s="68"/>
      <c r="F18" s="68"/>
      <c r="G18" s="68"/>
      <c r="H18" s="214"/>
      <c r="I18" s="68"/>
      <c r="J18" s="68"/>
    </row>
    <row r="19" spans="1:10" ht="30" customHeight="1">
      <c r="A19" s="221"/>
      <c r="B19" s="226"/>
      <c r="C19" s="229"/>
      <c r="D19" s="68"/>
      <c r="E19" s="68"/>
      <c r="F19" s="68"/>
      <c r="G19" s="68"/>
      <c r="H19" s="214"/>
      <c r="I19" s="68"/>
      <c r="J19" s="68"/>
    </row>
    <row r="20" spans="1:10" ht="30" customHeight="1">
      <c r="A20" s="221"/>
      <c r="B20" s="226"/>
      <c r="C20" s="229"/>
      <c r="D20" s="68"/>
      <c r="E20" s="68"/>
      <c r="F20" s="68"/>
      <c r="G20" s="68"/>
      <c r="H20" s="214"/>
      <c r="I20" s="68"/>
      <c r="J20" s="68"/>
    </row>
    <row r="21" spans="1:10" ht="30" customHeight="1">
      <c r="A21" s="221"/>
      <c r="B21" s="226"/>
      <c r="C21" s="229"/>
      <c r="D21" s="68"/>
      <c r="E21" s="68"/>
      <c r="F21" s="68"/>
      <c r="G21" s="68"/>
      <c r="H21" s="214"/>
      <c r="I21" s="68"/>
      <c r="J21" s="68"/>
    </row>
    <row r="22" spans="1:10" ht="30" customHeight="1">
      <c r="A22" s="222"/>
      <c r="B22" s="68"/>
      <c r="C22" s="229"/>
      <c r="D22" s="68"/>
      <c r="E22" s="68"/>
      <c r="F22" s="68"/>
      <c r="G22" s="68"/>
      <c r="H22" s="214"/>
      <c r="I22" s="68"/>
      <c r="J22" s="68"/>
    </row>
    <row r="23" spans="1:10" ht="30" customHeight="1">
      <c r="A23" s="1"/>
      <c r="B23" s="1"/>
      <c r="C23" s="1"/>
      <c r="D23" s="1"/>
      <c r="E23" s="1"/>
      <c r="F23" s="1"/>
      <c r="G23" s="1"/>
      <c r="H23" s="1"/>
      <c r="I23" s="1"/>
      <c r="J23" s="1"/>
    </row>
    <row r="24" spans="1:10" ht="30" customHeight="1">
      <c r="A24" s="1"/>
      <c r="B24" s="1"/>
      <c r="C24" s="1"/>
      <c r="D24" s="1"/>
      <c r="E24" s="1"/>
      <c r="F24" s="1"/>
      <c r="G24" s="1"/>
      <c r="H24" s="1"/>
      <c r="I24" s="1"/>
      <c r="J24" s="1"/>
    </row>
    <row r="25" spans="1:10" ht="30" customHeight="1">
      <c r="A25" s="1"/>
      <c r="B25" s="1"/>
      <c r="C25" s="1"/>
      <c r="D25" s="1"/>
      <c r="E25" s="1"/>
      <c r="F25" s="1"/>
      <c r="G25" s="1"/>
      <c r="H25" s="1"/>
      <c r="I25" s="1"/>
      <c r="J25" s="1"/>
    </row>
    <row r="26" spans="1:10">
      <c r="A26" s="1"/>
      <c r="B26" s="1"/>
      <c r="C26" s="1"/>
      <c r="D26" s="1"/>
      <c r="E26" s="1"/>
      <c r="F26" s="1"/>
      <c r="G26" s="1"/>
      <c r="H26" s="1"/>
      <c r="I26" s="1"/>
      <c r="J26" s="1"/>
    </row>
    <row r="27" spans="1:10">
      <c r="A27" s="1"/>
      <c r="B27" s="1"/>
      <c r="C27" s="1"/>
      <c r="D27" s="1"/>
      <c r="E27" s="1"/>
      <c r="F27" s="1"/>
      <c r="G27" s="1"/>
      <c r="H27" s="1"/>
      <c r="I27" s="1"/>
      <c r="J27" s="1"/>
    </row>
    <row r="28" spans="1:10">
      <c r="A28" s="1"/>
      <c r="B28" s="1"/>
      <c r="C28" s="1"/>
      <c r="D28" s="1"/>
      <c r="E28" s="1"/>
      <c r="F28" s="1"/>
      <c r="G28" s="1"/>
      <c r="H28" s="1"/>
      <c r="I28" s="1"/>
      <c r="J28" s="1"/>
    </row>
    <row r="29" spans="1:10">
      <c r="A29" s="1"/>
      <c r="B29" s="1"/>
      <c r="C29" s="1"/>
      <c r="D29" s="1"/>
      <c r="E29" s="1"/>
      <c r="F29" s="1"/>
      <c r="G29" s="1"/>
      <c r="H29" s="1"/>
      <c r="I29" s="1"/>
      <c r="J29" s="1"/>
    </row>
    <row r="30" spans="1:10">
      <c r="A30" s="1"/>
      <c r="B30" s="1"/>
      <c r="C30" s="1"/>
      <c r="D30" s="1"/>
      <c r="E30" s="1"/>
      <c r="F30" s="1"/>
      <c r="G30" s="1"/>
      <c r="H30" s="1"/>
      <c r="I30" s="1"/>
      <c r="J30" s="1"/>
    </row>
    <row r="31" spans="1:10">
      <c r="A31" s="1"/>
      <c r="B31" s="1"/>
      <c r="C31" s="1"/>
      <c r="D31" s="1"/>
      <c r="E31" s="1"/>
      <c r="F31" s="1"/>
      <c r="G31" s="1"/>
      <c r="H31" s="1"/>
      <c r="I31" s="1"/>
      <c r="J31" s="1"/>
    </row>
    <row r="32" spans="1:10">
      <c r="A32" s="1"/>
      <c r="B32" s="1"/>
      <c r="C32" s="1"/>
      <c r="D32" s="1"/>
      <c r="E32" s="1"/>
      <c r="F32" s="1"/>
      <c r="G32" s="1"/>
      <c r="H32" s="1"/>
      <c r="I32" s="1"/>
      <c r="J32" s="1"/>
    </row>
    <row r="33" spans="1:10">
      <c r="A33" s="1"/>
      <c r="B33" s="1"/>
      <c r="C33" s="1"/>
      <c r="D33" s="1"/>
      <c r="E33" s="1"/>
      <c r="F33" s="1"/>
      <c r="G33" s="1"/>
      <c r="H33" s="1"/>
      <c r="I33" s="1"/>
      <c r="J33" s="1"/>
    </row>
    <row r="34" spans="1:10">
      <c r="A34" s="1"/>
      <c r="B34" s="1"/>
      <c r="C34" s="1"/>
      <c r="D34" s="1"/>
      <c r="E34" s="1"/>
      <c r="F34" s="1"/>
      <c r="G34" s="1"/>
      <c r="H34" s="1"/>
      <c r="I34" s="1"/>
      <c r="J34" s="1"/>
    </row>
    <row r="35" spans="1:10">
      <c r="A35" s="1"/>
      <c r="B35" s="1"/>
      <c r="C35" s="1"/>
      <c r="D35" s="1"/>
      <c r="E35" s="1"/>
      <c r="F35" s="1"/>
      <c r="G35" s="1"/>
      <c r="H35" s="1"/>
      <c r="I35" s="1"/>
      <c r="J35" s="1"/>
    </row>
    <row r="36" spans="1:10">
      <c r="A36" s="1"/>
      <c r="B36" s="1"/>
      <c r="C36" s="1"/>
      <c r="D36" s="1"/>
      <c r="E36" s="1"/>
      <c r="F36" s="1"/>
      <c r="G36" s="1"/>
      <c r="H36" s="1"/>
      <c r="I36" s="1"/>
      <c r="J36" s="1"/>
    </row>
    <row r="37" spans="1:10">
      <c r="A37" s="1"/>
      <c r="B37" s="1"/>
      <c r="C37" s="1"/>
      <c r="D37" s="1"/>
      <c r="E37" s="1"/>
      <c r="F37" s="1"/>
      <c r="G37" s="1"/>
      <c r="H37" s="1"/>
      <c r="I37" s="1"/>
      <c r="J37" s="1"/>
    </row>
    <row r="38" spans="1:10">
      <c r="A38" s="1"/>
      <c r="B38" s="1"/>
      <c r="C38" s="1"/>
      <c r="D38" s="1"/>
      <c r="E38" s="1"/>
      <c r="F38" s="1"/>
      <c r="G38" s="1"/>
      <c r="H38" s="1"/>
      <c r="I38" s="1"/>
      <c r="J38" s="1"/>
    </row>
    <row r="39" spans="1:10">
      <c r="A39" s="1"/>
      <c r="B39" s="1"/>
      <c r="C39" s="1"/>
      <c r="D39" s="1"/>
      <c r="E39" s="1"/>
      <c r="F39" s="1"/>
      <c r="G39" s="1"/>
      <c r="H39" s="1"/>
      <c r="I39" s="1"/>
      <c r="J39" s="1"/>
    </row>
    <row r="40" spans="1:10">
      <c r="A40" s="1"/>
      <c r="B40" s="1"/>
      <c r="C40" s="1"/>
      <c r="D40" s="1"/>
      <c r="E40" s="1"/>
      <c r="F40" s="1"/>
      <c r="G40" s="1"/>
      <c r="H40" s="1"/>
      <c r="I40" s="1"/>
      <c r="J40" s="1"/>
    </row>
    <row r="41" spans="1:10">
      <c r="A41" s="1"/>
      <c r="B41" s="1"/>
      <c r="C41" s="1"/>
      <c r="D41" s="1"/>
      <c r="E41" s="1"/>
      <c r="F41" s="1"/>
      <c r="G41" s="1"/>
      <c r="H41" s="1"/>
      <c r="I41" s="1"/>
      <c r="J41" s="1"/>
    </row>
    <row r="42" spans="1:10">
      <c r="A42" s="1"/>
      <c r="B42" s="1"/>
      <c r="C42" s="1"/>
      <c r="D42" s="1"/>
      <c r="E42" s="1"/>
      <c r="F42" s="1"/>
      <c r="G42" s="1"/>
      <c r="H42" s="1"/>
      <c r="I42" s="1"/>
      <c r="J42" s="1"/>
    </row>
    <row r="43" spans="1:10">
      <c r="A43" s="1"/>
      <c r="B43" s="1"/>
      <c r="C43" s="1"/>
      <c r="D43" s="1"/>
      <c r="E43" s="1"/>
      <c r="F43" s="1"/>
      <c r="G43" s="1"/>
      <c r="H43" s="1"/>
      <c r="I43" s="1"/>
      <c r="J43" s="1"/>
    </row>
    <row r="44" spans="1:10">
      <c r="A44" s="1"/>
      <c r="B44" s="1"/>
      <c r="C44" s="1"/>
      <c r="D44" s="1"/>
      <c r="E44" s="1"/>
      <c r="F44" s="1"/>
      <c r="G44" s="1"/>
      <c r="H44" s="1"/>
      <c r="I44" s="1"/>
      <c r="J44" s="1"/>
    </row>
    <row r="45" spans="1:10">
      <c r="A45" s="1"/>
      <c r="B45" s="1"/>
      <c r="C45" s="1"/>
      <c r="D45" s="1"/>
      <c r="E45" s="1"/>
      <c r="F45" s="1"/>
      <c r="G45" s="1"/>
      <c r="H45" s="1"/>
      <c r="I45" s="1"/>
      <c r="J45" s="1"/>
    </row>
    <row r="46" spans="1:10">
      <c r="A46" s="1"/>
      <c r="B46" s="1"/>
      <c r="C46" s="1"/>
      <c r="D46" s="1"/>
      <c r="E46" s="1"/>
      <c r="F46" s="1"/>
      <c r="G46" s="1"/>
      <c r="H46" s="1"/>
      <c r="I46" s="1"/>
      <c r="J46" s="1"/>
    </row>
    <row r="47" spans="1:10">
      <c r="A47" s="1"/>
      <c r="B47" s="1"/>
      <c r="C47" s="1"/>
      <c r="D47" s="1"/>
      <c r="E47" s="1"/>
      <c r="F47" s="1"/>
      <c r="G47" s="1"/>
      <c r="H47" s="1"/>
      <c r="I47" s="1"/>
      <c r="J47" s="1"/>
    </row>
    <row r="48" spans="1:10">
      <c r="A48" s="1"/>
      <c r="B48" s="1"/>
      <c r="C48" s="1"/>
      <c r="D48" s="1"/>
      <c r="E48" s="1"/>
      <c r="F48" s="1"/>
      <c r="G48" s="1"/>
      <c r="H48" s="1"/>
      <c r="I48" s="1"/>
      <c r="J48" s="1"/>
    </row>
    <row r="49" spans="1:10">
      <c r="A49" s="1"/>
      <c r="B49" s="1"/>
      <c r="C49" s="1"/>
      <c r="D49" s="1"/>
      <c r="E49" s="1"/>
      <c r="F49" s="1"/>
      <c r="G49" s="1"/>
      <c r="H49" s="1"/>
      <c r="I49" s="1"/>
      <c r="J49" s="1"/>
    </row>
    <row r="50" spans="1:10">
      <c r="A50" s="1"/>
      <c r="B50" s="1"/>
      <c r="C50" s="1"/>
      <c r="D50" s="1"/>
      <c r="E50" s="1"/>
      <c r="F50" s="1"/>
      <c r="G50" s="1"/>
      <c r="H50" s="1"/>
      <c r="I50" s="1"/>
      <c r="J50" s="1"/>
    </row>
    <row r="51" spans="1:10">
      <c r="A51" s="1"/>
      <c r="B51" s="1"/>
      <c r="C51" s="1"/>
      <c r="D51" s="1"/>
      <c r="E51" s="1"/>
      <c r="F51" s="1"/>
      <c r="G51" s="1"/>
      <c r="H51" s="1"/>
      <c r="I51" s="1"/>
      <c r="J51" s="1"/>
    </row>
    <row r="52" spans="1:10">
      <c r="A52" s="1"/>
      <c r="B52" s="1"/>
      <c r="C52" s="1"/>
      <c r="D52" s="1"/>
      <c r="E52" s="1"/>
      <c r="F52" s="1"/>
      <c r="G52" s="1"/>
      <c r="H52" s="1"/>
      <c r="I52" s="1"/>
      <c r="J52" s="1"/>
    </row>
    <row r="53" spans="1:10">
      <c r="A53" s="1"/>
      <c r="B53" s="1"/>
      <c r="C53" s="1"/>
      <c r="D53" s="1"/>
      <c r="E53" s="1"/>
      <c r="F53" s="1"/>
      <c r="G53" s="1"/>
      <c r="H53" s="1"/>
      <c r="I53" s="1"/>
      <c r="J53" s="1"/>
    </row>
    <row r="54" spans="1:10">
      <c r="A54" s="1"/>
      <c r="B54" s="1"/>
      <c r="C54" s="1"/>
      <c r="D54" s="1"/>
      <c r="E54" s="1"/>
      <c r="F54" s="1"/>
      <c r="G54" s="1"/>
      <c r="H54" s="1"/>
      <c r="I54" s="1"/>
      <c r="J54" s="1"/>
    </row>
    <row r="55" spans="1:10">
      <c r="A55" s="1"/>
      <c r="B55" s="1"/>
      <c r="C55" s="1"/>
      <c r="D55" s="1"/>
      <c r="E55" s="1"/>
      <c r="F55" s="1"/>
      <c r="G55" s="1"/>
      <c r="H55" s="1"/>
      <c r="I55" s="1"/>
      <c r="J55" s="1"/>
    </row>
  </sheetData>
  <mergeCells count="1">
    <mergeCell ref="E2:I2"/>
  </mergeCells>
  <phoneticPr fontId="1"/>
  <pageMargins left="0.7" right="0.7" top="0.75" bottom="0.75" header="0.3" footer="0.3"/>
  <pageSetup paperSize="9" scale="6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I40"/>
  <sheetViews>
    <sheetView showGridLines="0" view="pageBreakPreview" topLeftCell="A23" zoomScale="60" zoomScaleNormal="70" workbookViewId="0">
      <selection activeCell="A39" sqref="A39:A40"/>
    </sheetView>
  </sheetViews>
  <sheetFormatPr defaultRowHeight="13.5"/>
  <cols>
    <col min="1" max="1" width="11.25" customWidth="1"/>
    <col min="2" max="2" width="26.375" customWidth="1"/>
    <col min="3" max="8" width="29.375" customWidth="1"/>
    <col min="9" max="9" width="19.25" customWidth="1"/>
  </cols>
  <sheetData>
    <row r="1" spans="1:9" ht="21" customHeight="1">
      <c r="A1" s="36" t="s">
        <v>183</v>
      </c>
      <c r="B1" s="36"/>
    </row>
    <row r="2" spans="1:9" ht="21" customHeight="1">
      <c r="A2" s="235" t="s">
        <v>23</v>
      </c>
      <c r="B2" s="239"/>
      <c r="C2" s="239"/>
      <c r="D2" s="236"/>
      <c r="E2" s="236"/>
      <c r="F2" s="236"/>
      <c r="G2" s="236"/>
      <c r="H2" s="236"/>
    </row>
    <row r="3" spans="1:9" ht="21" customHeight="1">
      <c r="A3" s="235" t="s">
        <v>464</v>
      </c>
      <c r="B3" s="239"/>
      <c r="C3" s="239"/>
      <c r="D3" s="236"/>
      <c r="E3" s="236"/>
      <c r="F3" s="236"/>
      <c r="G3" s="236"/>
      <c r="H3" s="236"/>
    </row>
    <row r="4" spans="1:9" ht="21" customHeight="1">
      <c r="A4" s="235" t="s">
        <v>553</v>
      </c>
      <c r="B4" s="239" t="s">
        <v>552</v>
      </c>
      <c r="C4" s="239"/>
      <c r="D4" s="236"/>
      <c r="E4" s="236"/>
      <c r="F4" s="236"/>
      <c r="G4" s="236"/>
      <c r="H4" s="236"/>
    </row>
    <row r="5" spans="1:9" ht="17.25" customHeight="1">
      <c r="A5" s="236"/>
      <c r="B5" s="236"/>
      <c r="C5" s="236"/>
      <c r="D5" s="236"/>
      <c r="E5" s="236"/>
      <c r="F5" s="236"/>
      <c r="G5" s="236"/>
      <c r="H5" s="236"/>
    </row>
    <row r="6" spans="1:9" ht="32.25" customHeight="1">
      <c r="A6" s="43" t="s">
        <v>10</v>
      </c>
      <c r="B6" s="43" t="s">
        <v>5</v>
      </c>
      <c r="C6" s="240" t="s">
        <v>556</v>
      </c>
      <c r="D6" s="43" t="s">
        <v>24</v>
      </c>
      <c r="E6" s="240" t="s">
        <v>554</v>
      </c>
      <c r="F6" s="240" t="s">
        <v>142</v>
      </c>
      <c r="G6" s="240" t="s">
        <v>557</v>
      </c>
      <c r="H6" s="240" t="s">
        <v>555</v>
      </c>
    </row>
    <row r="7" spans="1:9" ht="44.25" customHeight="1">
      <c r="A7" s="68" t="s">
        <v>15</v>
      </c>
      <c r="B7" s="229"/>
      <c r="C7" s="229"/>
      <c r="D7" s="229"/>
      <c r="E7" s="229"/>
      <c r="F7" s="228"/>
      <c r="G7" s="229"/>
      <c r="H7" s="228"/>
      <c r="I7" s="1"/>
    </row>
    <row r="8" spans="1:9" ht="44.25" customHeight="1">
      <c r="A8" s="68"/>
      <c r="B8" s="229"/>
      <c r="C8" s="228"/>
      <c r="D8" s="229"/>
      <c r="E8" s="228"/>
      <c r="F8" s="228"/>
      <c r="G8" s="229"/>
      <c r="H8" s="228"/>
      <c r="I8" s="1"/>
    </row>
    <row r="9" spans="1:9" ht="44.25" customHeight="1">
      <c r="A9" s="68"/>
      <c r="B9" s="229"/>
      <c r="C9" s="229"/>
      <c r="D9" s="229"/>
      <c r="E9" s="228"/>
      <c r="F9" s="228"/>
      <c r="G9" s="229"/>
      <c r="H9" s="229"/>
      <c r="I9" s="1"/>
    </row>
    <row r="10" spans="1:9" ht="44.25" customHeight="1">
      <c r="A10" s="68"/>
      <c r="B10" s="229"/>
      <c r="C10" s="228"/>
      <c r="D10" s="229"/>
      <c r="E10" s="229"/>
      <c r="F10" s="228"/>
      <c r="G10" s="229"/>
      <c r="H10" s="228"/>
      <c r="I10" s="1"/>
    </row>
    <row r="11" spans="1:9" ht="44.25" customHeight="1">
      <c r="A11" s="214" t="s">
        <v>6</v>
      </c>
      <c r="B11" s="229"/>
      <c r="C11" s="229"/>
      <c r="D11" s="229"/>
      <c r="E11" s="228"/>
      <c r="F11" s="228"/>
      <c r="G11" s="228"/>
      <c r="H11" s="228"/>
      <c r="I11" s="1"/>
    </row>
    <row r="12" spans="1:9" ht="44.25" customHeight="1">
      <c r="A12" s="68"/>
      <c r="B12" s="229"/>
      <c r="C12" s="228"/>
      <c r="D12" s="228"/>
      <c r="E12" s="228"/>
      <c r="F12" s="228"/>
      <c r="G12" s="229"/>
      <c r="H12" s="228"/>
      <c r="I12" s="1"/>
    </row>
    <row r="13" spans="1:9" ht="44.25" customHeight="1">
      <c r="A13" s="68"/>
      <c r="B13" s="229"/>
      <c r="C13" s="228"/>
      <c r="D13" s="229"/>
      <c r="E13" s="228"/>
      <c r="F13" s="228"/>
      <c r="G13" s="229"/>
      <c r="H13" s="228"/>
      <c r="I13" s="1"/>
    </row>
    <row r="14" spans="1:9" ht="44.25" customHeight="1">
      <c r="A14" s="68"/>
      <c r="B14" s="229"/>
      <c r="C14" s="229"/>
      <c r="D14" s="229"/>
      <c r="E14" s="229"/>
      <c r="F14" s="229"/>
      <c r="G14" s="229"/>
      <c r="H14" s="229"/>
      <c r="I14" s="1"/>
    </row>
    <row r="15" spans="1:9" ht="44.25" customHeight="1">
      <c r="A15" s="68"/>
      <c r="B15" s="229"/>
      <c r="C15" s="229"/>
      <c r="D15" s="229"/>
      <c r="E15" s="229"/>
      <c r="F15" s="229"/>
      <c r="G15" s="229"/>
      <c r="H15" s="229"/>
      <c r="I15" s="1"/>
    </row>
    <row r="16" spans="1:9" ht="44.25" customHeight="1">
      <c r="A16" s="237" t="s">
        <v>14</v>
      </c>
      <c r="B16" s="229"/>
      <c r="C16" s="229"/>
      <c r="D16" s="228"/>
      <c r="E16" s="228"/>
      <c r="F16" s="228"/>
      <c r="G16" s="229"/>
      <c r="H16" s="228"/>
      <c r="I16" s="1"/>
    </row>
    <row r="17" spans="1:9" ht="44.25" customHeight="1">
      <c r="A17" s="238"/>
      <c r="B17" s="229"/>
      <c r="C17" s="229"/>
      <c r="D17" s="229"/>
      <c r="E17" s="228"/>
      <c r="F17" s="228"/>
      <c r="G17" s="229"/>
      <c r="H17" s="228"/>
      <c r="I17" s="1"/>
    </row>
    <row r="18" spans="1:9" ht="44.25" customHeight="1">
      <c r="A18" s="238"/>
      <c r="B18" s="229"/>
      <c r="C18" s="229"/>
      <c r="D18" s="229"/>
      <c r="E18" s="229"/>
      <c r="F18" s="229"/>
      <c r="G18" s="229"/>
      <c r="H18" s="229"/>
      <c r="I18" s="1"/>
    </row>
    <row r="19" spans="1:9" ht="44.25" customHeight="1">
      <c r="A19" s="234"/>
      <c r="B19" s="229"/>
      <c r="C19" s="229"/>
      <c r="D19" s="229"/>
      <c r="E19" s="229"/>
      <c r="F19" s="229"/>
      <c r="G19" s="229"/>
      <c r="H19" s="229"/>
      <c r="I19" s="1"/>
    </row>
    <row r="20" spans="1:9" ht="44.25" customHeight="1">
      <c r="A20" s="68" t="s">
        <v>521</v>
      </c>
      <c r="B20" s="228"/>
      <c r="C20" s="229"/>
      <c r="D20" s="228"/>
      <c r="E20" s="229"/>
      <c r="F20" s="228"/>
      <c r="G20" s="229"/>
      <c r="H20" s="228"/>
      <c r="I20" s="1"/>
    </row>
    <row r="21" spans="1:9" ht="44.25" customHeight="1">
      <c r="A21" s="68"/>
      <c r="B21" s="229"/>
      <c r="C21" s="229"/>
      <c r="D21" s="229"/>
      <c r="E21" s="229"/>
      <c r="F21" s="229"/>
      <c r="G21" s="229"/>
      <c r="H21" s="228"/>
      <c r="I21" s="1"/>
    </row>
    <row r="22" spans="1:9" ht="44.25" customHeight="1">
      <c r="A22" s="68"/>
      <c r="B22" s="229"/>
      <c r="C22" s="229"/>
      <c r="D22" s="229"/>
      <c r="E22" s="229"/>
      <c r="F22" s="229"/>
      <c r="G22" s="229"/>
      <c r="H22" s="229"/>
      <c r="I22" s="1"/>
    </row>
    <row r="23" spans="1:9" ht="44.25" customHeight="1">
      <c r="A23" s="68"/>
      <c r="B23" s="229"/>
      <c r="C23" s="229"/>
      <c r="D23" s="229"/>
      <c r="E23" s="229"/>
      <c r="F23" s="229"/>
      <c r="G23" s="229"/>
      <c r="H23" s="229"/>
      <c r="I23" s="1"/>
    </row>
    <row r="24" spans="1:9" ht="44.25" customHeight="1">
      <c r="A24" s="237" t="s">
        <v>17</v>
      </c>
      <c r="B24" s="229"/>
      <c r="C24" s="229"/>
      <c r="D24" s="229"/>
      <c r="E24" s="228"/>
      <c r="F24" s="228"/>
      <c r="G24" s="229"/>
      <c r="H24" s="228"/>
      <c r="I24" s="1"/>
    </row>
    <row r="25" spans="1:9" ht="44.25" customHeight="1">
      <c r="A25" s="238"/>
      <c r="B25" s="229"/>
      <c r="C25" s="229"/>
      <c r="D25" s="228"/>
      <c r="E25" s="228"/>
      <c r="F25" s="228"/>
      <c r="G25" s="229"/>
      <c r="H25" s="229"/>
      <c r="I25" s="1"/>
    </row>
    <row r="26" spans="1:9" ht="44.25" customHeight="1">
      <c r="A26" s="238"/>
      <c r="B26" s="229"/>
      <c r="C26" s="229"/>
      <c r="D26" s="229"/>
      <c r="E26" s="228"/>
      <c r="F26" s="228"/>
      <c r="G26" s="229"/>
      <c r="H26" s="228"/>
      <c r="I26" s="1"/>
    </row>
    <row r="27" spans="1:9" ht="44.25" customHeight="1">
      <c r="A27" s="238"/>
      <c r="B27" s="229"/>
      <c r="C27" s="229"/>
      <c r="D27" s="228"/>
      <c r="E27" s="228"/>
      <c r="F27" s="228"/>
      <c r="G27" s="229"/>
      <c r="H27" s="229"/>
      <c r="I27" s="1"/>
    </row>
    <row r="28" spans="1:9" ht="44.25" customHeight="1">
      <c r="A28" s="234"/>
      <c r="B28" s="229"/>
      <c r="C28" s="229"/>
      <c r="D28" s="229"/>
      <c r="E28" s="229"/>
      <c r="F28" s="229"/>
      <c r="G28" s="229"/>
      <c r="H28" s="229"/>
      <c r="I28" s="1"/>
    </row>
    <row r="29" spans="1:9" ht="44.25" customHeight="1">
      <c r="A29" s="214" t="s">
        <v>506</v>
      </c>
      <c r="B29" s="229"/>
      <c r="C29" s="228"/>
      <c r="D29" s="228"/>
      <c r="E29" s="228"/>
      <c r="F29" s="228"/>
      <c r="G29" s="229"/>
      <c r="H29" s="228"/>
      <c r="I29" s="1"/>
    </row>
    <row r="30" spans="1:9" ht="44.25" customHeight="1">
      <c r="A30" s="214"/>
      <c r="B30" s="229"/>
      <c r="C30" s="228"/>
      <c r="D30" s="228"/>
      <c r="E30" s="228"/>
      <c r="F30" s="228"/>
      <c r="G30" s="229"/>
      <c r="H30" s="228"/>
      <c r="I30" s="1"/>
    </row>
    <row r="31" spans="1:9" ht="44.25" customHeight="1">
      <c r="A31" s="214"/>
      <c r="B31" s="229"/>
      <c r="C31" s="229"/>
      <c r="D31" s="229"/>
      <c r="E31" s="229"/>
      <c r="F31" s="229"/>
      <c r="G31" s="229"/>
      <c r="H31" s="229"/>
      <c r="I31" s="1"/>
    </row>
    <row r="32" spans="1:9" ht="44.25" customHeight="1">
      <c r="A32" s="214"/>
      <c r="B32" s="229"/>
      <c r="C32" s="229"/>
      <c r="D32" s="229"/>
      <c r="E32" s="229"/>
      <c r="F32" s="229"/>
      <c r="G32" s="229"/>
      <c r="H32" s="229"/>
      <c r="I32" s="1"/>
    </row>
    <row r="33" spans="1:9" ht="44.25" customHeight="1">
      <c r="A33" s="214"/>
      <c r="B33" s="229"/>
      <c r="C33" s="229"/>
      <c r="D33" s="229"/>
      <c r="E33" s="229"/>
      <c r="F33" s="229"/>
      <c r="G33" s="229"/>
      <c r="H33" s="229"/>
      <c r="I33" s="1"/>
    </row>
    <row r="34" spans="1:9" ht="44.25" customHeight="1">
      <c r="A34" s="214" t="s">
        <v>314</v>
      </c>
      <c r="B34" s="229"/>
      <c r="C34" s="229"/>
      <c r="D34" s="228"/>
      <c r="E34" s="228"/>
      <c r="F34" s="228"/>
      <c r="G34" s="229"/>
      <c r="H34" s="228"/>
      <c r="I34" s="1"/>
    </row>
    <row r="35" spans="1:9" ht="44.25" customHeight="1">
      <c r="A35" s="214"/>
      <c r="B35" s="229"/>
      <c r="C35" s="228"/>
      <c r="D35" s="228"/>
      <c r="E35" s="228"/>
      <c r="F35" s="228"/>
      <c r="G35" s="229"/>
      <c r="H35" s="228"/>
      <c r="I35" s="1"/>
    </row>
    <row r="36" spans="1:9" ht="44.25" customHeight="1">
      <c r="A36" s="214"/>
      <c r="B36" s="229"/>
      <c r="C36" s="228"/>
      <c r="D36" s="228"/>
      <c r="E36" s="228"/>
      <c r="F36" s="228"/>
      <c r="G36" s="229"/>
      <c r="H36" s="228"/>
      <c r="I36" s="1"/>
    </row>
    <row r="37" spans="1:9" ht="44.25" customHeight="1">
      <c r="A37" s="214"/>
      <c r="B37" s="229"/>
      <c r="C37" s="228"/>
      <c r="D37" s="229"/>
      <c r="E37" s="228"/>
      <c r="F37" s="228"/>
      <c r="G37" s="229"/>
      <c r="H37" s="228"/>
      <c r="I37" s="1"/>
    </row>
    <row r="38" spans="1:9" ht="44.25" customHeight="1">
      <c r="A38" s="214"/>
      <c r="B38" s="229"/>
      <c r="C38" s="229"/>
      <c r="D38" s="229"/>
      <c r="E38" s="229"/>
      <c r="F38" s="229"/>
      <c r="G38" s="229"/>
      <c r="H38" s="229"/>
      <c r="I38" s="1"/>
    </row>
    <row r="39" spans="1:9" ht="44.25" customHeight="1">
      <c r="A39" s="68" t="s">
        <v>20</v>
      </c>
      <c r="B39" s="32"/>
      <c r="C39" s="32"/>
      <c r="D39" s="32"/>
      <c r="E39" s="32"/>
      <c r="F39" s="32"/>
      <c r="G39" s="32"/>
      <c r="H39" s="32"/>
    </row>
    <row r="40" spans="1:9" ht="44.25" customHeight="1">
      <c r="A40" s="68"/>
      <c r="B40" s="32"/>
      <c r="C40" s="32"/>
      <c r="D40" s="32"/>
      <c r="E40" s="32"/>
      <c r="F40" s="32"/>
      <c r="G40" s="32"/>
      <c r="H40" s="32"/>
    </row>
  </sheetData>
  <mergeCells count="11">
    <mergeCell ref="B2:C2"/>
    <mergeCell ref="B3:C3"/>
    <mergeCell ref="B4:C4"/>
    <mergeCell ref="A7:A10"/>
    <mergeCell ref="A11:A15"/>
    <mergeCell ref="A16:A19"/>
    <mergeCell ref="A20:A23"/>
    <mergeCell ref="A24:A28"/>
    <mergeCell ref="A29:A33"/>
    <mergeCell ref="A34:A38"/>
    <mergeCell ref="A39:A40"/>
  </mergeCells>
  <phoneticPr fontId="1"/>
  <pageMargins left="0.70866141732283472" right="0.70866141732283472" top="0.74803149606299213" bottom="0.74803149606299213" header="0.31496062992125984" footer="0.31496062992125984"/>
  <pageSetup paperSize="9" scale="62" fitToWidth="1" fitToHeight="0" orientation="landscape" usePrinterDefaults="1" r:id="rId1"/>
  <rowBreaks count="2" manualBreakCount="2">
    <brk id="19" max="7" man="1"/>
    <brk id="33"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L32"/>
  <sheetViews>
    <sheetView view="pageBreakPreview" zoomScale="60" workbookViewId="0">
      <selection activeCell="F39" sqref="F39"/>
    </sheetView>
  </sheetViews>
  <sheetFormatPr defaultRowHeight="13.5"/>
  <cols>
    <col min="1" max="1" width="17.75" customWidth="1"/>
    <col min="2" max="2" width="12.75" customWidth="1"/>
    <col min="3" max="3" width="22.375" customWidth="1"/>
    <col min="4" max="4" width="12.75" customWidth="1"/>
    <col min="5" max="5" width="14.25" customWidth="1"/>
    <col min="6" max="6" width="21.875" customWidth="1"/>
    <col min="7" max="7" width="17.25" customWidth="1"/>
    <col min="8" max="8" width="15.625" customWidth="1"/>
    <col min="9" max="9" width="15.125" customWidth="1"/>
    <col min="10" max="10" width="12.625" customWidth="1"/>
    <col min="11" max="11" width="15.75" customWidth="1"/>
    <col min="12" max="12" width="16.125" customWidth="1"/>
  </cols>
  <sheetData>
    <row r="1" spans="1:12" ht="23.25" customHeight="1">
      <c r="A1" s="36" t="s">
        <v>486</v>
      </c>
      <c r="B1" s="36"/>
      <c r="C1" s="36"/>
      <c r="D1" s="36"/>
    </row>
    <row r="2" spans="1:12" s="241" customFormat="1" ht="21.75" customHeight="1">
      <c r="A2" s="43" t="s">
        <v>23</v>
      </c>
      <c r="B2" s="43" t="s">
        <v>75</v>
      </c>
      <c r="C2" s="43" t="s">
        <v>542</v>
      </c>
      <c r="D2" s="43" t="s">
        <v>113</v>
      </c>
      <c r="E2" s="43" t="s">
        <v>65</v>
      </c>
      <c r="F2" s="43" t="s">
        <v>39</v>
      </c>
      <c r="G2" s="43" t="s">
        <v>64</v>
      </c>
      <c r="H2" s="43" t="s">
        <v>107</v>
      </c>
      <c r="I2" s="43" t="s">
        <v>108</v>
      </c>
      <c r="J2" s="43" t="s">
        <v>34</v>
      </c>
      <c r="K2" s="43" t="s">
        <v>109</v>
      </c>
      <c r="L2" s="43" t="s">
        <v>112</v>
      </c>
    </row>
    <row r="3" spans="1:12" ht="39" customHeight="1">
      <c r="A3" s="32"/>
      <c r="B3" s="32"/>
      <c r="C3" s="228"/>
      <c r="D3" s="228"/>
      <c r="E3" s="32"/>
      <c r="F3" s="228"/>
      <c r="G3" s="228"/>
      <c r="H3" s="228"/>
      <c r="I3" s="228"/>
      <c r="J3" s="228"/>
      <c r="K3" s="228"/>
      <c r="L3" s="228"/>
    </row>
    <row r="4" spans="1:12" ht="39" customHeight="1">
      <c r="A4" s="32"/>
      <c r="B4" s="32"/>
      <c r="C4" s="228"/>
      <c r="D4" s="32"/>
      <c r="E4" s="228"/>
      <c r="F4" s="228"/>
      <c r="G4" s="228"/>
      <c r="H4" s="228"/>
      <c r="I4" s="228"/>
      <c r="J4" s="228"/>
      <c r="K4" s="228"/>
      <c r="L4" s="32"/>
    </row>
    <row r="5" spans="1:12" ht="39" customHeight="1">
      <c r="A5" s="32"/>
      <c r="B5" s="32"/>
      <c r="C5" s="228"/>
      <c r="D5" s="228"/>
      <c r="E5" s="32"/>
      <c r="F5" s="228"/>
      <c r="G5" s="32"/>
      <c r="H5" s="32"/>
      <c r="I5" s="32"/>
      <c r="J5" s="32"/>
      <c r="K5" s="32"/>
      <c r="L5" s="32"/>
    </row>
    <row r="6" spans="1:12" ht="39" customHeight="1">
      <c r="A6" s="32"/>
      <c r="B6" s="228"/>
      <c r="C6" s="228"/>
      <c r="D6" s="32"/>
      <c r="E6" s="32"/>
      <c r="F6" s="32"/>
      <c r="G6" s="32"/>
      <c r="H6" s="32"/>
      <c r="I6" s="32"/>
      <c r="J6" s="32"/>
      <c r="K6" s="32"/>
      <c r="L6" s="32"/>
    </row>
    <row r="7" spans="1:12" ht="39" customHeight="1">
      <c r="A7" s="32"/>
      <c r="B7" s="228"/>
      <c r="C7" s="228"/>
      <c r="D7" s="228"/>
      <c r="E7" s="228"/>
      <c r="F7" s="32"/>
      <c r="G7" s="32"/>
      <c r="H7" s="32"/>
      <c r="I7" s="228"/>
      <c r="J7" s="32"/>
      <c r="K7" s="32"/>
      <c r="L7" s="32"/>
    </row>
    <row r="8" spans="1:12" ht="39" customHeight="1">
      <c r="A8" s="228"/>
      <c r="B8" s="228"/>
      <c r="C8" s="228"/>
      <c r="D8" s="228"/>
      <c r="E8" s="32"/>
      <c r="F8" s="32"/>
      <c r="G8" s="32"/>
      <c r="H8" s="32"/>
      <c r="I8" s="32"/>
      <c r="J8" s="32"/>
      <c r="K8" s="32"/>
      <c r="L8" s="32"/>
    </row>
    <row r="9" spans="1:12" ht="39" customHeight="1">
      <c r="A9" s="32"/>
      <c r="B9" s="32"/>
      <c r="C9" s="32"/>
      <c r="D9" s="32"/>
      <c r="E9" s="32"/>
      <c r="F9" s="32"/>
      <c r="G9" s="32"/>
      <c r="H9" s="32"/>
      <c r="I9" s="32"/>
      <c r="J9" s="32"/>
      <c r="K9" s="32"/>
      <c r="L9" s="32"/>
    </row>
    <row r="10" spans="1:12" ht="39" customHeight="1">
      <c r="A10" s="32"/>
      <c r="B10" s="32"/>
      <c r="C10" s="32"/>
      <c r="D10" s="32"/>
      <c r="E10" s="32"/>
      <c r="F10" s="32"/>
      <c r="G10" s="32"/>
      <c r="H10" s="32"/>
      <c r="I10" s="32"/>
      <c r="J10" s="32"/>
      <c r="K10" s="32"/>
      <c r="L10" s="32"/>
    </row>
    <row r="11" spans="1:12" ht="39" customHeight="1">
      <c r="A11" s="32"/>
      <c r="B11" s="32"/>
      <c r="C11" s="32"/>
      <c r="D11" s="32"/>
      <c r="E11" s="32"/>
      <c r="F11" s="32"/>
      <c r="G11" s="32"/>
      <c r="H11" s="32"/>
      <c r="I11" s="32"/>
      <c r="J11" s="32"/>
      <c r="K11" s="32"/>
      <c r="L11" s="32"/>
    </row>
    <row r="12" spans="1:12" ht="39" customHeight="1">
      <c r="A12" s="228"/>
      <c r="B12" s="32"/>
      <c r="C12" s="228"/>
      <c r="D12" s="32"/>
      <c r="E12" s="32"/>
      <c r="F12" s="32"/>
      <c r="G12" s="32"/>
      <c r="H12" s="32"/>
      <c r="I12" s="32"/>
      <c r="J12" s="32"/>
      <c r="K12" s="32"/>
      <c r="L12" s="32"/>
    </row>
    <row r="13" spans="1:12" ht="39" customHeight="1">
      <c r="A13" s="229"/>
      <c r="B13" s="229"/>
      <c r="C13" s="229"/>
      <c r="D13" s="229"/>
      <c r="E13" s="229"/>
      <c r="F13" s="229"/>
      <c r="G13" s="229"/>
      <c r="H13" s="229"/>
      <c r="I13" s="229"/>
      <c r="J13" s="229"/>
      <c r="K13" s="32"/>
      <c r="L13" s="32"/>
    </row>
    <row r="14" spans="1:12" ht="39" customHeight="1">
      <c r="A14" s="229"/>
      <c r="B14" s="229"/>
      <c r="C14" s="229"/>
      <c r="D14" s="229"/>
      <c r="E14" s="229"/>
      <c r="F14" s="229"/>
      <c r="G14" s="229"/>
      <c r="H14" s="229"/>
      <c r="I14" s="229"/>
      <c r="J14" s="229"/>
      <c r="K14" s="32"/>
      <c r="L14" s="32"/>
    </row>
    <row r="15" spans="1:12">
      <c r="A15" s="1"/>
      <c r="B15" s="1"/>
      <c r="C15" s="1"/>
      <c r="D15" s="1"/>
      <c r="E15" s="1"/>
      <c r="F15" s="1"/>
      <c r="G15" s="1"/>
      <c r="H15" s="1"/>
      <c r="I15" s="1"/>
      <c r="J15" s="1"/>
    </row>
    <row r="16" spans="1:12">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row r="24" spans="1:10">
      <c r="A24" s="1"/>
      <c r="B24" s="1"/>
      <c r="C24" s="1"/>
      <c r="D24" s="1"/>
      <c r="E24" s="1"/>
      <c r="F24" s="1"/>
      <c r="G24" s="1"/>
      <c r="H24" s="1"/>
      <c r="I24" s="1"/>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1"/>
      <c r="B27" s="1"/>
      <c r="C27" s="1"/>
      <c r="D27" s="1"/>
      <c r="E27" s="1"/>
      <c r="F27" s="1"/>
      <c r="G27" s="1"/>
      <c r="H27" s="1"/>
      <c r="I27" s="1"/>
      <c r="J27" s="1"/>
    </row>
    <row r="28" spans="1:10">
      <c r="A28" s="1"/>
      <c r="B28" s="1"/>
      <c r="C28" s="1"/>
      <c r="D28" s="1"/>
      <c r="E28" s="1"/>
      <c r="F28" s="1"/>
      <c r="G28" s="1"/>
      <c r="H28" s="1"/>
      <c r="I28" s="1"/>
      <c r="J28" s="1"/>
    </row>
    <row r="29" spans="1:10">
      <c r="A29" s="1"/>
      <c r="B29" s="1"/>
      <c r="C29" s="1"/>
      <c r="D29" s="1"/>
      <c r="E29" s="1"/>
      <c r="F29" s="1"/>
      <c r="G29" s="1"/>
      <c r="H29" s="1"/>
      <c r="I29" s="1"/>
      <c r="J29" s="1"/>
    </row>
    <row r="30" spans="1:10">
      <c r="A30" s="1"/>
      <c r="B30" s="1"/>
      <c r="C30" s="1"/>
      <c r="D30" s="1"/>
      <c r="E30" s="1"/>
      <c r="F30" s="1"/>
      <c r="G30" s="1"/>
      <c r="H30" s="1"/>
      <c r="I30" s="1"/>
      <c r="J30" s="1"/>
    </row>
    <row r="31" spans="1:10">
      <c r="A31" s="1"/>
      <c r="B31" s="1"/>
      <c r="C31" s="1"/>
      <c r="D31" s="1"/>
      <c r="E31" s="1"/>
      <c r="F31" s="1"/>
      <c r="G31" s="1"/>
      <c r="H31" s="1"/>
      <c r="I31" s="1"/>
      <c r="J31" s="1"/>
    </row>
    <row r="32" spans="1:10">
      <c r="A32" s="1"/>
      <c r="B32" s="1"/>
      <c r="C32" s="1"/>
      <c r="D32" s="1"/>
      <c r="E32" s="1"/>
      <c r="F32" s="1"/>
      <c r="G32" s="1"/>
      <c r="H32" s="1"/>
      <c r="I32" s="1"/>
      <c r="J32" s="1"/>
    </row>
  </sheetData>
  <phoneticPr fontId="1"/>
  <pageMargins left="0.7" right="0.7" top="0.75" bottom="0.75" header="0.3" footer="0.3"/>
  <pageSetup paperSize="9" scale="68"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I59"/>
  <sheetViews>
    <sheetView view="pageBreakPreview" zoomScale="60" workbookViewId="0">
      <selection activeCell="H18" sqref="H18"/>
    </sheetView>
  </sheetViews>
  <sheetFormatPr defaultRowHeight="13.5"/>
  <cols>
    <col min="1" max="1" width="7.5" customWidth="1"/>
    <col min="2" max="2" width="17.75" customWidth="1"/>
    <col min="3" max="3" width="12.75" customWidth="1"/>
    <col min="4" max="4" width="22.375" customWidth="1"/>
    <col min="5" max="5" width="12.75" customWidth="1"/>
    <col min="6" max="6" width="14.25" customWidth="1"/>
    <col min="7" max="7" width="21.875" customWidth="1"/>
    <col min="8" max="8" width="17.25" customWidth="1"/>
    <col min="9" max="9" width="15.625" customWidth="1"/>
    <col min="10" max="10" width="15.125" customWidth="1"/>
    <col min="11" max="11" width="12.625" customWidth="1"/>
    <col min="12" max="12" width="15.75" customWidth="1"/>
    <col min="13" max="13" width="16.125" customWidth="1"/>
  </cols>
  <sheetData>
    <row r="1" spans="1:9" ht="14.25">
      <c r="A1" s="36" t="s">
        <v>33</v>
      </c>
      <c r="B1" s="36"/>
      <c r="C1" s="36"/>
      <c r="D1" s="36"/>
    </row>
    <row r="2" spans="1:9" ht="30" customHeight="1">
      <c r="A2" s="243" t="s">
        <v>533</v>
      </c>
      <c r="B2" s="247" t="s">
        <v>582</v>
      </c>
      <c r="C2" s="251" t="s">
        <v>534</v>
      </c>
      <c r="D2" s="251" t="s">
        <v>510</v>
      </c>
      <c r="E2" s="251" t="s">
        <v>536</v>
      </c>
      <c r="F2" s="251"/>
      <c r="G2" s="253" t="s">
        <v>523</v>
      </c>
    </row>
    <row r="3" spans="1:9">
      <c r="A3" s="244" t="s">
        <v>535</v>
      </c>
      <c r="B3" s="45"/>
      <c r="C3" s="45"/>
      <c r="D3" s="45"/>
      <c r="E3" s="45"/>
      <c r="F3" s="45"/>
      <c r="G3" s="254"/>
      <c r="H3" s="1"/>
      <c r="I3" s="1"/>
    </row>
    <row r="4" spans="1:9" ht="27" customHeight="1">
      <c r="A4" s="244"/>
      <c r="B4" s="248"/>
      <c r="C4" s="45"/>
      <c r="D4" s="248"/>
      <c r="E4" s="45"/>
      <c r="F4" s="45"/>
      <c r="G4" s="254"/>
      <c r="H4" s="1"/>
      <c r="I4" s="1"/>
    </row>
    <row r="5" spans="1:9">
      <c r="A5" s="244"/>
      <c r="B5" s="248"/>
      <c r="C5" s="45"/>
      <c r="D5" s="248"/>
      <c r="E5" s="45"/>
      <c r="F5" s="45"/>
      <c r="G5" s="254"/>
      <c r="H5" s="1"/>
      <c r="I5" s="1"/>
    </row>
    <row r="6" spans="1:9">
      <c r="A6" s="244"/>
      <c r="B6" s="248"/>
      <c r="C6" s="45"/>
      <c r="D6" s="248"/>
      <c r="E6" s="45"/>
      <c r="F6" s="45"/>
      <c r="G6" s="254"/>
      <c r="H6" s="1"/>
      <c r="I6" s="1"/>
    </row>
    <row r="7" spans="1:9">
      <c r="A7" s="244"/>
      <c r="B7" s="248"/>
      <c r="C7" s="45"/>
      <c r="D7" s="248"/>
      <c r="E7" s="45"/>
      <c r="F7" s="45"/>
      <c r="G7" s="254"/>
      <c r="H7" s="1"/>
      <c r="I7" s="1"/>
    </row>
    <row r="8" spans="1:9" ht="13.5" customHeight="1">
      <c r="A8" s="244"/>
      <c r="B8" s="248"/>
      <c r="C8" s="45"/>
      <c r="D8" s="248"/>
      <c r="E8" s="45"/>
      <c r="F8" s="45"/>
      <c r="G8" s="254"/>
      <c r="H8" s="1"/>
      <c r="I8" s="1"/>
    </row>
    <row r="9" spans="1:9">
      <c r="A9" s="244"/>
      <c r="B9" s="248"/>
      <c r="C9" s="45"/>
      <c r="D9" s="248"/>
      <c r="E9" s="45"/>
      <c r="F9" s="45"/>
      <c r="G9" s="254"/>
      <c r="H9" s="1"/>
      <c r="I9" s="1"/>
    </row>
    <row r="10" spans="1:9">
      <c r="A10" s="244"/>
      <c r="B10" s="248"/>
      <c r="C10" s="45"/>
      <c r="D10" s="248"/>
      <c r="E10" s="45"/>
      <c r="F10" s="45"/>
      <c r="G10" s="254"/>
      <c r="H10" s="1"/>
      <c r="I10" s="1"/>
    </row>
    <row r="11" spans="1:9">
      <c r="A11" s="244"/>
      <c r="B11" s="248"/>
      <c r="C11" s="45"/>
      <c r="D11" s="248"/>
      <c r="E11" s="45"/>
      <c r="F11" s="45"/>
      <c r="G11" s="254"/>
      <c r="H11" s="1"/>
      <c r="I11" s="1"/>
    </row>
    <row r="12" spans="1:9">
      <c r="A12" s="244"/>
      <c r="B12" s="248"/>
      <c r="C12" s="45"/>
      <c r="D12" s="248"/>
      <c r="E12" s="45"/>
      <c r="F12" s="45"/>
      <c r="G12" s="254"/>
      <c r="H12" s="1"/>
      <c r="I12" s="1"/>
    </row>
    <row r="13" spans="1:9">
      <c r="A13" s="245" t="s">
        <v>431</v>
      </c>
      <c r="B13" s="45"/>
      <c r="C13" s="214"/>
      <c r="D13" s="45"/>
      <c r="E13" s="45"/>
      <c r="F13" s="45"/>
      <c r="G13" s="254"/>
      <c r="H13" s="1"/>
      <c r="I13" s="1"/>
    </row>
    <row r="14" spans="1:9">
      <c r="A14" s="245"/>
      <c r="B14" s="248"/>
      <c r="C14" s="68"/>
      <c r="D14" s="45"/>
      <c r="E14" s="45"/>
      <c r="F14" s="45"/>
      <c r="G14" s="254"/>
      <c r="H14" s="1"/>
      <c r="I14" s="1"/>
    </row>
    <row r="15" spans="1:9">
      <c r="A15" s="245"/>
      <c r="B15" s="248"/>
      <c r="C15" s="68"/>
      <c r="D15" s="45"/>
      <c r="E15" s="45"/>
      <c r="F15" s="45"/>
      <c r="G15" s="254"/>
      <c r="H15" s="1"/>
      <c r="I15" s="1"/>
    </row>
    <row r="16" spans="1:9">
      <c r="A16" s="245"/>
      <c r="B16" s="248"/>
      <c r="C16" s="68"/>
      <c r="D16" s="45"/>
      <c r="E16" s="45"/>
      <c r="F16" s="45"/>
      <c r="G16" s="254"/>
      <c r="H16" s="1"/>
      <c r="I16" s="1"/>
    </row>
    <row r="17" spans="1:9">
      <c r="A17" s="245"/>
      <c r="B17" s="248"/>
      <c r="C17" s="68"/>
      <c r="D17" s="45"/>
      <c r="E17" s="45"/>
      <c r="F17" s="45"/>
      <c r="G17" s="254"/>
      <c r="H17" s="1"/>
      <c r="I17" s="1"/>
    </row>
    <row r="18" spans="1:9" ht="13.5" customHeight="1">
      <c r="A18" s="245"/>
      <c r="B18" s="248"/>
      <c r="C18" s="68"/>
      <c r="D18" s="45"/>
      <c r="E18" s="45"/>
      <c r="F18" s="45"/>
      <c r="G18" s="254"/>
      <c r="H18" s="1"/>
      <c r="I18" s="1"/>
    </row>
    <row r="19" spans="1:9">
      <c r="A19" s="245"/>
      <c r="B19" s="248"/>
      <c r="C19" s="68"/>
      <c r="D19" s="45"/>
      <c r="E19" s="45"/>
      <c r="F19" s="45"/>
      <c r="G19" s="254"/>
      <c r="H19" s="1"/>
      <c r="I19" s="1"/>
    </row>
    <row r="20" spans="1:9">
      <c r="A20" s="245"/>
      <c r="B20" s="248"/>
      <c r="C20" s="68"/>
      <c r="D20" s="45"/>
      <c r="E20" s="45"/>
      <c r="F20" s="45"/>
      <c r="G20" s="254"/>
      <c r="H20" s="1"/>
      <c r="I20" s="1"/>
    </row>
    <row r="21" spans="1:9">
      <c r="A21" s="245"/>
      <c r="B21" s="248"/>
      <c r="C21" s="68"/>
      <c r="D21" s="45"/>
      <c r="E21" s="45"/>
      <c r="F21" s="45"/>
      <c r="G21" s="254"/>
      <c r="H21" s="1"/>
      <c r="I21" s="1"/>
    </row>
    <row r="22" spans="1:9" ht="13.5" customHeight="1">
      <c r="A22" s="245" t="s">
        <v>537</v>
      </c>
      <c r="B22" s="249"/>
      <c r="C22" s="45"/>
      <c r="D22" s="45"/>
      <c r="E22" s="45"/>
      <c r="F22" s="45"/>
      <c r="G22" s="254"/>
      <c r="H22" s="1"/>
      <c r="I22" s="1"/>
    </row>
    <row r="23" spans="1:9">
      <c r="A23" s="245"/>
      <c r="B23" s="249"/>
      <c r="C23" s="45"/>
      <c r="D23" s="45"/>
      <c r="E23" s="45"/>
      <c r="F23" s="45"/>
      <c r="G23" s="254"/>
      <c r="H23" s="1"/>
      <c r="I23" s="1"/>
    </row>
    <row r="24" spans="1:9">
      <c r="A24" s="245"/>
      <c r="B24" s="249"/>
      <c r="C24" s="45"/>
      <c r="D24" s="45"/>
      <c r="E24" s="45"/>
      <c r="F24" s="45"/>
      <c r="G24" s="254"/>
      <c r="H24" s="1"/>
      <c r="I24" s="1"/>
    </row>
    <row r="25" spans="1:9">
      <c r="A25" s="245"/>
      <c r="B25" s="249"/>
      <c r="C25" s="45"/>
      <c r="D25" s="45"/>
      <c r="E25" s="45"/>
      <c r="F25" s="45"/>
      <c r="G25" s="254"/>
      <c r="H25" s="1"/>
      <c r="I25" s="1"/>
    </row>
    <row r="26" spans="1:9" ht="13.5" customHeight="1">
      <c r="A26" s="245"/>
      <c r="B26" s="249"/>
      <c r="C26" s="45"/>
      <c r="D26" s="45"/>
      <c r="E26" s="45"/>
      <c r="F26" s="45"/>
      <c r="G26" s="254"/>
      <c r="H26" s="1"/>
      <c r="I26" s="1"/>
    </row>
    <row r="27" spans="1:9">
      <c r="A27" s="245"/>
      <c r="B27" s="249"/>
      <c r="C27" s="45"/>
      <c r="D27" s="45"/>
      <c r="E27" s="45"/>
      <c r="F27" s="45"/>
      <c r="G27" s="254"/>
      <c r="H27" s="1"/>
      <c r="I27" s="1"/>
    </row>
    <row r="28" spans="1:9">
      <c r="A28" s="245"/>
      <c r="B28" s="249"/>
      <c r="C28" s="45"/>
      <c r="D28" s="45"/>
      <c r="E28" s="45"/>
      <c r="F28" s="45"/>
      <c r="G28" s="254"/>
      <c r="H28" s="1"/>
      <c r="I28" s="1"/>
    </row>
    <row r="29" spans="1:9">
      <c r="A29" s="245"/>
      <c r="B29" s="249"/>
      <c r="C29" s="45"/>
      <c r="D29" s="45"/>
      <c r="E29" s="45"/>
      <c r="F29" s="45"/>
      <c r="G29" s="254"/>
      <c r="H29" s="1"/>
      <c r="I29" s="1"/>
    </row>
    <row r="30" spans="1:9">
      <c r="A30" s="245"/>
      <c r="B30" s="249"/>
      <c r="C30" s="45"/>
      <c r="D30" s="45"/>
      <c r="E30" s="45"/>
      <c r="F30" s="45"/>
      <c r="G30" s="254"/>
      <c r="H30" s="1"/>
      <c r="I30" s="1"/>
    </row>
    <row r="31" spans="1:9">
      <c r="A31" s="245"/>
      <c r="B31" s="249"/>
      <c r="C31" s="45"/>
      <c r="D31" s="45"/>
      <c r="E31" s="45"/>
      <c r="F31" s="45"/>
      <c r="G31" s="254"/>
      <c r="H31" s="1"/>
      <c r="I31" s="1"/>
    </row>
    <row r="32" spans="1:9" ht="13.5" customHeight="1">
      <c r="A32" s="244" t="s">
        <v>522</v>
      </c>
      <c r="B32" s="45"/>
      <c r="C32" s="45"/>
      <c r="D32" s="45"/>
      <c r="E32" s="45"/>
      <c r="F32" s="45"/>
      <c r="G32" s="254"/>
    </row>
    <row r="33" spans="1:7" ht="13.5" customHeight="1">
      <c r="A33" s="244"/>
      <c r="B33" s="45"/>
      <c r="C33" s="45"/>
      <c r="D33" s="248"/>
      <c r="E33" s="45"/>
      <c r="F33" s="45"/>
      <c r="G33" s="254"/>
    </row>
    <row r="34" spans="1:7">
      <c r="A34" s="244"/>
      <c r="B34" s="45"/>
      <c r="C34" s="45"/>
      <c r="D34" s="248"/>
      <c r="E34" s="45"/>
      <c r="F34" s="45"/>
      <c r="G34" s="254"/>
    </row>
    <row r="35" spans="1:7">
      <c r="A35" s="244"/>
      <c r="B35" s="45"/>
      <c r="C35" s="45"/>
      <c r="D35" s="248"/>
      <c r="E35" s="45"/>
      <c r="F35" s="45"/>
      <c r="G35" s="254"/>
    </row>
    <row r="36" spans="1:7">
      <c r="A36" s="244"/>
      <c r="B36" s="45"/>
      <c r="C36" s="45"/>
      <c r="D36" s="248"/>
      <c r="E36" s="45"/>
      <c r="F36" s="45"/>
      <c r="G36" s="254"/>
    </row>
    <row r="37" spans="1:7">
      <c r="A37" s="244"/>
      <c r="B37" s="45"/>
      <c r="C37" s="45"/>
      <c r="D37" s="248"/>
      <c r="E37" s="45"/>
      <c r="F37" s="45"/>
      <c r="G37" s="254"/>
    </row>
    <row r="38" spans="1:7">
      <c r="A38" s="244"/>
      <c r="B38" s="45"/>
      <c r="C38" s="45"/>
      <c r="D38" s="248"/>
      <c r="E38" s="45"/>
      <c r="F38" s="45"/>
      <c r="G38" s="254"/>
    </row>
    <row r="39" spans="1:7">
      <c r="A39" s="244"/>
      <c r="B39" s="45"/>
      <c r="C39" s="45"/>
      <c r="D39" s="248"/>
      <c r="E39" s="45"/>
      <c r="F39" s="45"/>
      <c r="G39" s="254"/>
    </row>
    <row r="40" spans="1:7" ht="13.5" customHeight="1">
      <c r="A40" s="244" t="s">
        <v>63</v>
      </c>
      <c r="B40" s="45"/>
      <c r="C40" s="45"/>
      <c r="D40" s="45"/>
      <c r="E40" s="45"/>
      <c r="F40" s="45"/>
      <c r="G40" s="254"/>
    </row>
    <row r="41" spans="1:7">
      <c r="A41" s="244"/>
      <c r="B41" s="45"/>
      <c r="C41" s="45"/>
      <c r="D41" s="45"/>
      <c r="E41" s="45"/>
      <c r="F41" s="45"/>
      <c r="G41" s="254"/>
    </row>
    <row r="42" spans="1:7">
      <c r="A42" s="244"/>
      <c r="B42" s="45"/>
      <c r="C42" s="45"/>
      <c r="D42" s="45"/>
      <c r="E42" s="45"/>
      <c r="F42" s="45"/>
      <c r="G42" s="254"/>
    </row>
    <row r="43" spans="1:7">
      <c r="A43" s="244"/>
      <c r="B43" s="45"/>
      <c r="C43" s="45"/>
      <c r="D43" s="45"/>
      <c r="E43" s="45"/>
      <c r="F43" s="45"/>
      <c r="G43" s="254"/>
    </row>
    <row r="44" spans="1:7">
      <c r="A44" s="244"/>
      <c r="B44" s="45"/>
      <c r="C44" s="45"/>
      <c r="D44" s="45"/>
      <c r="E44" s="45"/>
      <c r="F44" s="45"/>
      <c r="G44" s="254"/>
    </row>
    <row r="45" spans="1:7">
      <c r="A45" s="244"/>
      <c r="B45" s="45"/>
      <c r="C45" s="45"/>
      <c r="D45" s="45"/>
      <c r="E45" s="45"/>
      <c r="F45" s="45"/>
      <c r="G45" s="254"/>
    </row>
    <row r="46" spans="1:7">
      <c r="A46" s="244"/>
      <c r="B46" s="45"/>
      <c r="C46" s="45"/>
      <c r="D46" s="45"/>
      <c r="E46" s="45"/>
      <c r="F46" s="45"/>
      <c r="G46" s="254"/>
    </row>
    <row r="47" spans="1:7">
      <c r="A47" s="244" t="s">
        <v>41</v>
      </c>
      <c r="B47" s="45"/>
      <c r="C47" s="45"/>
      <c r="D47" s="45"/>
      <c r="E47" s="248"/>
      <c r="F47" s="248"/>
      <c r="G47" s="81"/>
    </row>
    <row r="48" spans="1:7">
      <c r="A48" s="244"/>
      <c r="B48" s="45"/>
      <c r="C48" s="45"/>
      <c r="D48" s="248"/>
      <c r="E48" s="248"/>
      <c r="F48" s="248"/>
      <c r="G48" s="81"/>
    </row>
    <row r="49" spans="1:7">
      <c r="A49" s="244"/>
      <c r="B49" s="45"/>
      <c r="C49" s="45"/>
      <c r="D49" s="248"/>
      <c r="E49" s="248"/>
      <c r="F49" s="248"/>
      <c r="G49" s="81"/>
    </row>
    <row r="50" spans="1:7">
      <c r="A50" s="244"/>
      <c r="B50" s="45"/>
      <c r="C50" s="45"/>
      <c r="D50" s="248"/>
      <c r="E50" s="248"/>
      <c r="F50" s="248"/>
      <c r="G50" s="81"/>
    </row>
    <row r="51" spans="1:7">
      <c r="A51" s="244"/>
      <c r="B51" s="45"/>
      <c r="C51" s="45"/>
      <c r="D51" s="248"/>
      <c r="E51" s="248"/>
      <c r="F51" s="248"/>
      <c r="G51" s="81"/>
    </row>
    <row r="52" spans="1:7">
      <c r="A52" s="244"/>
      <c r="B52" s="45"/>
      <c r="C52" s="45"/>
      <c r="D52" s="248"/>
      <c r="E52" s="248"/>
      <c r="F52" s="248"/>
      <c r="G52" s="81"/>
    </row>
    <row r="53" spans="1:7">
      <c r="A53" s="244"/>
      <c r="B53" s="45"/>
      <c r="C53" s="45"/>
      <c r="D53" s="248"/>
      <c r="E53" s="248"/>
      <c r="F53" s="248"/>
      <c r="G53" s="81"/>
    </row>
    <row r="54" spans="1:7">
      <c r="A54" s="244" t="s">
        <v>538</v>
      </c>
      <c r="B54" s="45"/>
      <c r="C54" s="248"/>
      <c r="D54" s="248"/>
      <c r="E54" s="248"/>
      <c r="F54" s="248"/>
      <c r="G54" s="254"/>
    </row>
    <row r="55" spans="1:7">
      <c r="A55" s="244"/>
      <c r="B55" s="45"/>
      <c r="C55" s="248"/>
      <c r="D55" s="248"/>
      <c r="E55" s="248"/>
      <c r="F55" s="248"/>
      <c r="G55" s="254"/>
    </row>
    <row r="56" spans="1:7">
      <c r="A56" s="244"/>
      <c r="B56" s="45"/>
      <c r="C56" s="248"/>
      <c r="D56" s="248"/>
      <c r="E56" s="248"/>
      <c r="F56" s="248"/>
      <c r="G56" s="254"/>
    </row>
    <row r="57" spans="1:7">
      <c r="A57" s="244"/>
      <c r="B57" s="45"/>
      <c r="C57" s="248"/>
      <c r="D57" s="248"/>
      <c r="E57" s="248"/>
      <c r="F57" s="248"/>
      <c r="G57" s="254"/>
    </row>
    <row r="58" spans="1:7">
      <c r="A58" s="244"/>
      <c r="B58" s="45"/>
      <c r="C58" s="248"/>
      <c r="D58" s="248"/>
      <c r="E58" s="248"/>
      <c r="F58" s="248"/>
      <c r="G58" s="254"/>
    </row>
    <row r="59" spans="1:7">
      <c r="A59" s="246"/>
      <c r="B59" s="250"/>
      <c r="C59" s="252"/>
      <c r="D59" s="252"/>
      <c r="E59" s="252"/>
      <c r="F59" s="252"/>
      <c r="G59" s="255"/>
    </row>
  </sheetData>
  <mergeCells count="43">
    <mergeCell ref="E2:F2"/>
    <mergeCell ref="A54:A59"/>
    <mergeCell ref="B54:B59"/>
    <mergeCell ref="C54:C59"/>
    <mergeCell ref="D54:D59"/>
    <mergeCell ref="E54:F59"/>
    <mergeCell ref="G54:G59"/>
    <mergeCell ref="A3:A12"/>
    <mergeCell ref="B3:B12"/>
    <mergeCell ref="C3:C12"/>
    <mergeCell ref="D3:D12"/>
    <mergeCell ref="E3:F12"/>
    <mergeCell ref="G3:G12"/>
    <mergeCell ref="A13:A21"/>
    <mergeCell ref="B13:B21"/>
    <mergeCell ref="C13:C21"/>
    <mergeCell ref="D13:D21"/>
    <mergeCell ref="E13:F21"/>
    <mergeCell ref="G13:G21"/>
    <mergeCell ref="A22:A31"/>
    <mergeCell ref="B22:B31"/>
    <mergeCell ref="C22:C31"/>
    <mergeCell ref="D22:D31"/>
    <mergeCell ref="E22:F31"/>
    <mergeCell ref="G22:G31"/>
    <mergeCell ref="A32:A39"/>
    <mergeCell ref="B32:B39"/>
    <mergeCell ref="C32:C39"/>
    <mergeCell ref="D32:D39"/>
    <mergeCell ref="E32:F39"/>
    <mergeCell ref="G32:G39"/>
    <mergeCell ref="A40:A46"/>
    <mergeCell ref="B40:B46"/>
    <mergeCell ref="C40:C46"/>
    <mergeCell ref="D40:D46"/>
    <mergeCell ref="E40:F46"/>
    <mergeCell ref="G40:G46"/>
    <mergeCell ref="A47:A53"/>
    <mergeCell ref="B47:B53"/>
    <mergeCell ref="C47:C53"/>
    <mergeCell ref="D47:D53"/>
    <mergeCell ref="E47:F53"/>
    <mergeCell ref="G47:G53"/>
  </mergeCells>
  <phoneticPr fontId="1"/>
  <pageMargins left="0.7" right="0.7" top="0.75" bottom="0.75" header="0.3" footer="0.3"/>
  <pageSetup paperSize="9" scale="8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19</vt:i4>
      </vt:variant>
    </vt:vector>
  </HeadingPairs>
  <TitlesOfParts>
    <vt:vector size="19" baseType="lpstr">
      <vt:lpstr>表紙</vt:lpstr>
      <vt:lpstr>様式一覧表</vt:lpstr>
      <vt:lpstr>様式１</vt:lpstr>
      <vt:lpstr>様式２</vt:lpstr>
      <vt:lpstr>様式３</vt:lpstr>
      <vt:lpstr>様式４</vt:lpstr>
      <vt:lpstr>様式５</vt:lpstr>
      <vt:lpstr>様式６</vt:lpstr>
      <vt:lpstr>様式６参考(タイムライン)</vt:lpstr>
      <vt:lpstr>様式７</vt:lpstr>
      <vt:lpstr>様式8</vt:lpstr>
      <vt:lpstr>様式９</vt:lpstr>
      <vt:lpstr>様式10</vt:lpstr>
      <vt:lpstr>様式11</vt:lpstr>
      <vt:lpstr>様式12</vt:lpstr>
      <vt:lpstr>様式13</vt:lpstr>
      <vt:lpstr>様式14</vt:lpstr>
      <vt:lpstr>様式15</vt:lpstr>
      <vt:lpstr>DV-IDENTITY-0</vt:lpstr>
    </vt:vector>
  </TitlesOfParts>
  <Company>Microsoft</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宮角良介</dc:creator>
  <cp:lastModifiedBy>深澤　克友</cp:lastModifiedBy>
  <cp:lastPrinted>2023-02-22T00:42:31Z</cp:lastPrinted>
  <dcterms:created xsi:type="dcterms:W3CDTF">2011-10-29T11:43:04Z</dcterms:created>
  <dcterms:modified xsi:type="dcterms:W3CDTF">2023-11-10T05:42:15Z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Google.Documents.DocumentId">
    <vt:lpwstr>1vCkAqKkRcM-Pd-79fRALem8b6XX-E48bOIpsoP9ptoE</vt:lpwstr>
  </property>
  <property fmtid="{D5CDD505-2E9C-101B-9397-08002B2CF9AE}" pid="3" name="Google.Documents.MergeIncapabilityFlags">
    <vt:i4>0</vt:i4>
  </property>
  <property fmtid="{D5CDD505-2E9C-101B-9397-08002B2CF9AE}" pid="4" name="Google.Documents.PluginVersion">
    <vt:lpwstr>2.0.2424.7283</vt:lpwstr>
  </property>
  <property fmtid="{D5CDD505-2E9C-101B-9397-08002B2CF9AE}" pid="5" name="Google.Documents.RevisionId">
    <vt:lpwstr>04555561300577736954</vt:lpwstr>
  </property>
  <property fmtid="{D5CDD505-2E9C-101B-9397-08002B2CF9AE}" pid="6" name="Google.Documents.Tracking">
    <vt:lpwstr>true</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2023-11-10T05:42:15Z</vt:filetime>
  </property>
</Properties>
</file>