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625" yWindow="1170" windowWidth="16650" windowHeight="13980"/>
  </bookViews>
  <sheets>
    <sheet name="様式一覧表" sheetId="77" r:id="rId1"/>
    <sheet name="表紙" sheetId="98" r:id="rId2"/>
    <sheet name="様式１" sheetId="51" r:id="rId3"/>
    <sheet name="様式２" sheetId="50" r:id="rId4"/>
    <sheet name="様式３" sheetId="48" r:id="rId5"/>
    <sheet name="様式４" sheetId="46" r:id="rId6"/>
    <sheet name="様式５" sheetId="70" r:id="rId7"/>
    <sheet name="様式６" sheetId="52" r:id="rId8"/>
    <sheet name="様式６参考(タイムライン)" sheetId="97" r:id="rId9"/>
    <sheet name="様式７" sheetId="53" r:id="rId10"/>
    <sheet name="様式8" sheetId="54" r:id="rId11"/>
    <sheet name="様式９" sheetId="55" r:id="rId12"/>
    <sheet name="様式10" sheetId="56" r:id="rId13"/>
    <sheet name="様式11" sheetId="57" r:id="rId14"/>
    <sheet name="様式12" sheetId="58" r:id="rId15"/>
    <sheet name="様式13" sheetId="59" r:id="rId16"/>
    <sheet name="様式14" sheetId="60" r:id="rId17"/>
    <sheet name="様式15" sheetId="61" r:id="rId18"/>
    <sheet name="【参考】BCP特別保証" sheetId="86" r:id="rId19"/>
    <sheet name="参考様式１" sheetId="105" r:id="rId20"/>
    <sheet name="参考様式２" sheetId="80" r:id="rId21"/>
    <sheet name="参考様式３" sheetId="99" r:id="rId22"/>
    <sheet name="参考様式４" sheetId="100" r:id="rId23"/>
    <sheet name="参考様式５" sheetId="101" r:id="rId24"/>
    <sheet name="参考様式６" sheetId="102" r:id="rId25"/>
    <sheet name="参考様式７" sheetId="103" r:id="rId26"/>
    <sheet name="参考様式８" sheetId="89" r:id="rId27"/>
    <sheet name="参考様式９" sheetId="90" r:id="rId28"/>
    <sheet name="参考様式１０" sheetId="91" r:id="rId29"/>
    <sheet name="参考様式１１" sheetId="92" r:id="rId30"/>
    <sheet name="参考様式１２" sheetId="93" r:id="rId31"/>
    <sheet name="DV-IDENTITY-0" sheetId="34" state="veryHidden" r:id="rId32"/>
  </sheets>
  <definedNames>
    <definedName name="_xlnm.Print_Area" localSheetId="5">様式４!$A$1:$J$22</definedName>
    <definedName name="_xlnm.Print_Area" localSheetId="4">様式３!$A$1:$AY$37</definedName>
    <definedName name="_xlnm.Print_Area" localSheetId="3">様式２!$A$1:$G$5</definedName>
    <definedName name="_xlnm.Print_Area" localSheetId="2">様式１!$A$1:$A$9</definedName>
    <definedName name="_xlnm.Print_Area" localSheetId="9">様式７!$A$1:$K$111</definedName>
    <definedName name="_xlnm.Print_Area" localSheetId="10">様式8!$A$1:$L$43</definedName>
    <definedName name="_xlnm.Print_Area" localSheetId="11">様式９!$A$1:$I$49</definedName>
    <definedName name="_xlnm.Print_Area" localSheetId="12">様式10!$A$1:$I$46</definedName>
    <definedName name="_xlnm.Print_Area" localSheetId="13">様式11!$A$1:$R$63</definedName>
    <definedName name="_xlnm.Print_Area" localSheetId="14">様式12!$A$1:$P$33</definedName>
    <definedName name="_xlnm.Print_Area" localSheetId="15">様式13!$A$1:$M$18</definedName>
    <definedName name="_xlnm.Print_Area" localSheetId="16">様式14!$A$1:$N$13</definedName>
    <definedName name="_xlnm.Print_Area" localSheetId="17">様式15!$A$1:$D$13</definedName>
    <definedName name="_xlnm.Print_Area" localSheetId="6">様式５!$A$1:$H$40</definedName>
    <definedName name="_xlnm.Print_Titles" localSheetId="6">様式５!$6:$6</definedName>
    <definedName name="_xlnm.Print_Area" localSheetId="0">様式一覧表!$A$1:$G$29</definedName>
    <definedName name="_xlnm.Print_Area" localSheetId="20">参考様式２!$A$1:$P$22</definedName>
    <definedName name="_xlnm.Print_Area" localSheetId="27">参考様式９!$A$1:$D$11</definedName>
    <definedName name="_xlnm.Print_Area" localSheetId="28">参考様式１０!$A$1:$F$16</definedName>
    <definedName name="_xlnm.Print_Area" localSheetId="30">参考様式１２!$A$1:$I$39</definedName>
    <definedName name="_xlnm.Print_Area" localSheetId="1">表紙!$A$1:$J$52</definedName>
    <definedName name="_xlnm.Print_Area" localSheetId="21">参考様式３!$A$1:$I$52</definedName>
    <definedName name="_xlnm.Print_Area" localSheetId="25">参考様式７!$A$1:$B$12</definedName>
    <definedName name="_xlnm.Print_Area" localSheetId="19">参考様式１!$A$1:$N$21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<sst xmlns="http://schemas.openxmlformats.org/spreadsheetml/2006/main" xmlns:r="http://schemas.openxmlformats.org/officeDocument/2006/relationships" count="1294" uniqueCount="1294">
  <si>
    <t>氏名</t>
    <rPh sb="0" eb="2">
      <t>シメイ</t>
    </rPh>
    <phoneticPr fontId="1"/>
  </si>
  <si>
    <t>AAAAAHu9dJI=</t>
  </si>
  <si>
    <t>建物・設備</t>
    <rPh sb="0" eb="2">
      <t>タテモノ</t>
    </rPh>
    <rPh sb="3" eb="5">
      <t>セツビ</t>
    </rPh>
    <phoneticPr fontId="1"/>
  </si>
  <si>
    <t>当面通行禁止</t>
    <rPh sb="0" eb="2">
      <t>トウメン</t>
    </rPh>
    <rPh sb="2" eb="6">
      <t>ツウコウキンシ</t>
    </rPh>
    <phoneticPr fontId="1"/>
  </si>
  <si>
    <t>紙＆電子データ</t>
    <rPh sb="0" eb="1">
      <t>カミ</t>
    </rPh>
    <phoneticPr fontId="1"/>
  </si>
  <si>
    <t>第３版様式９</t>
    <rPh sb="0" eb="1">
      <t>ダイ</t>
    </rPh>
    <rPh sb="2" eb="3">
      <t>ハン</t>
    </rPh>
    <rPh sb="3" eb="5">
      <t>ヨウシキ</t>
    </rPh>
    <phoneticPr fontId="1"/>
  </si>
  <si>
    <t>医療関係組立</t>
    <rPh sb="0" eb="4">
      <t>イリョウカンケイ</t>
    </rPh>
    <rPh sb="4" eb="6">
      <t>クミタテ</t>
    </rPh>
    <phoneticPr fontId="39"/>
  </si>
  <si>
    <t>具体的資源名</t>
    <rPh sb="0" eb="3">
      <t>グタイテキ</t>
    </rPh>
    <rPh sb="3" eb="5">
      <t>シゲン</t>
    </rPh>
    <rPh sb="5" eb="6">
      <t>メイ</t>
    </rPh>
    <phoneticPr fontId="1"/>
  </si>
  <si>
    <t>様式１２　　事前対策の実施計画管理表　</t>
    <rPh sb="0" eb="2">
      <t>ヨウシキ</t>
    </rPh>
    <rPh sb="6" eb="10">
      <t>ジゼンタイサク</t>
    </rPh>
    <rPh sb="11" eb="13">
      <t>ジッシ</t>
    </rPh>
    <rPh sb="13" eb="15">
      <t>ケイカク</t>
    </rPh>
    <rPh sb="15" eb="17">
      <t>カンリ</t>
    </rPh>
    <rPh sb="17" eb="18">
      <t>ヒョウ</t>
    </rPh>
    <phoneticPr fontId="1"/>
  </si>
  <si>
    <t>原材料高騰</t>
    <rPh sb="0" eb="3">
      <t>ゲンザイリョウ</t>
    </rPh>
    <rPh sb="3" eb="5">
      <t>コウトウ</t>
    </rPh>
    <phoneticPr fontId="1"/>
  </si>
  <si>
    <t>製品
原材料
資材</t>
    <rPh sb="0" eb="2">
      <t>セイヒン</t>
    </rPh>
    <rPh sb="3" eb="6">
      <t>ゲンザイリョウ</t>
    </rPh>
    <rPh sb="7" eb="9">
      <t>シザイ</t>
    </rPh>
    <phoneticPr fontId="1"/>
  </si>
  <si>
    <t>建物・施設（自社で確保、支援企業から貸与、協力企業で実施・・・・）</t>
    <rPh sb="0" eb="2">
      <t>タテモノ</t>
    </rPh>
    <rPh sb="3" eb="5">
      <t>シセツ</t>
    </rPh>
    <rPh sb="12" eb="16">
      <t>シエンキギョウ</t>
    </rPh>
    <rPh sb="18" eb="20">
      <t>タイヨ</t>
    </rPh>
    <rPh sb="21" eb="25">
      <t>キョウリョクキギョウ</t>
    </rPh>
    <rPh sb="26" eb="28">
      <t>ジッシ</t>
    </rPh>
    <phoneticPr fontId="1"/>
  </si>
  <si>
    <t>資源分類</t>
    <rPh sb="0" eb="2">
      <t>シゲン</t>
    </rPh>
    <rPh sb="2" eb="4">
      <t>ブンルイ</t>
    </rPh>
    <phoneticPr fontId="1"/>
  </si>
  <si>
    <t>従業員携行カード（改訂版）</t>
    <rPh sb="0" eb="3">
      <t>ジュウギョウイン</t>
    </rPh>
    <rPh sb="3" eb="5">
      <t>ケイコウ</t>
    </rPh>
    <rPh sb="9" eb="12">
      <t>カイテイバン</t>
    </rPh>
    <phoneticPr fontId="1"/>
  </si>
  <si>
    <t>WEB対応で対応（インターネット接続可能環境で）</t>
  </si>
  <si>
    <t>　インフラ被害状況（電気、ガス、水道、下水道、通信・・）</t>
    <rPh sb="5" eb="9">
      <t>ヒガイジョウキョウ</t>
    </rPh>
    <rPh sb="10" eb="12">
      <t>デンキ</t>
    </rPh>
    <rPh sb="16" eb="18">
      <t>スイドウ</t>
    </rPh>
    <rPh sb="19" eb="22">
      <t>ゲスイドウ</t>
    </rPh>
    <rPh sb="23" eb="25">
      <t>ツウシン</t>
    </rPh>
    <phoneticPr fontId="1"/>
  </si>
  <si>
    <t>国・県等の低利融資制度など</t>
    <rPh sb="0" eb="1">
      <t>クニ</t>
    </rPh>
    <rPh sb="2" eb="4">
      <t>ケントウ</t>
    </rPh>
    <rPh sb="5" eb="9">
      <t>テイリユウシ</t>
    </rPh>
    <rPh sb="9" eb="11">
      <t>セイド</t>
    </rPh>
    <phoneticPr fontId="1"/>
  </si>
  <si>
    <t>地震保険</t>
    <rPh sb="0" eb="4">
      <t>ジシンホケン</t>
    </rPh>
    <phoneticPr fontId="1"/>
  </si>
  <si>
    <t>環境・インフラ　</t>
    <rPh sb="0" eb="2">
      <t>カンキョウ</t>
    </rPh>
    <phoneticPr fontId="1"/>
  </si>
  <si>
    <t>部署
役職</t>
    <rPh sb="0" eb="2">
      <t>ブショ</t>
    </rPh>
    <rPh sb="3" eb="5">
      <t>ヤクショク</t>
    </rPh>
    <phoneticPr fontId="1"/>
  </si>
  <si>
    <t>管理・識別が行いやすい対策名称）</t>
    <rPh sb="0" eb="2">
      <t>カンリ</t>
    </rPh>
    <rPh sb="3" eb="5">
      <t>シキベツ</t>
    </rPh>
    <rPh sb="6" eb="7">
      <t>オコナ</t>
    </rPh>
    <rPh sb="11" eb="13">
      <t>タイサク</t>
    </rPh>
    <rPh sb="13" eb="15">
      <t>メイショウ</t>
    </rPh>
    <phoneticPr fontId="1"/>
  </si>
  <si>
    <t>再調達困難度　大</t>
  </si>
  <si>
    <t>設備・
機械　</t>
    <rPh sb="0" eb="2">
      <t>セツビ</t>
    </rPh>
    <rPh sb="4" eb="6">
      <t>キカイ</t>
    </rPh>
    <phoneticPr fontId="1"/>
  </si>
  <si>
    <t>着手日</t>
    <rPh sb="0" eb="2">
      <t>チャクシュ</t>
    </rPh>
    <rPh sb="2" eb="3">
      <t>ビ</t>
    </rPh>
    <phoneticPr fontId="1"/>
  </si>
  <si>
    <t>協力会社</t>
    <rPh sb="0" eb="4">
      <t>キョウリョクガイシャ</t>
    </rPh>
    <phoneticPr fontId="1"/>
  </si>
  <si>
    <t>ヒト</t>
  </si>
  <si>
    <t>項目（対策名称）</t>
    <rPh sb="0" eb="2">
      <t>コウモク</t>
    </rPh>
    <rPh sb="3" eb="7">
      <t>タイサクメイショウ</t>
    </rPh>
    <phoneticPr fontId="1"/>
  </si>
  <si>
    <t>情報</t>
    <rPh sb="0" eb="2">
      <t>ジョウホウ</t>
    </rPh>
    <phoneticPr fontId="1"/>
  </si>
  <si>
    <t>実施期間</t>
    <rPh sb="0" eb="2">
      <t>ジッシ</t>
    </rPh>
    <rPh sb="2" eb="4">
      <t>キカン</t>
    </rPh>
    <phoneticPr fontId="1"/>
  </si>
  <si>
    <t>経営判断の目標時間：顧客等の関係から、顧客が他社に乗り換える、あるいは納品を我慢してくれる許容時間を記入</t>
    <rPh sb="0" eb="4">
      <t>ケイエイハンダン</t>
    </rPh>
    <rPh sb="5" eb="7">
      <t>モクヒョウ</t>
    </rPh>
    <rPh sb="7" eb="9">
      <t>ジカン</t>
    </rPh>
    <rPh sb="10" eb="12">
      <t>コキャク</t>
    </rPh>
    <rPh sb="12" eb="13">
      <t>トウ</t>
    </rPh>
    <rPh sb="14" eb="16">
      <t>カンケイ</t>
    </rPh>
    <rPh sb="19" eb="21">
      <t>コキャク</t>
    </rPh>
    <rPh sb="22" eb="24">
      <t>タシャ</t>
    </rPh>
    <rPh sb="25" eb="26">
      <t>ノ</t>
    </rPh>
    <rPh sb="27" eb="28">
      <t>カ</t>
    </rPh>
    <rPh sb="35" eb="37">
      <t>ノウヒン</t>
    </rPh>
    <rPh sb="38" eb="40">
      <t>ガマン</t>
    </rPh>
    <rPh sb="45" eb="47">
      <t>キョヨウ</t>
    </rPh>
    <rPh sb="47" eb="49">
      <t>ジカン</t>
    </rPh>
    <rPh sb="50" eb="52">
      <t>キニュウ</t>
    </rPh>
    <phoneticPr fontId="39"/>
  </si>
  <si>
    <t>その他</t>
    <rPh sb="2" eb="3">
      <t>タ</t>
    </rPh>
    <phoneticPr fontId="1"/>
  </si>
  <si>
    <t>新規</t>
    <rPh sb="0" eb="2">
      <t>シンキ</t>
    </rPh>
    <phoneticPr fontId="1"/>
  </si>
  <si>
    <t>担当</t>
    <rPh sb="0" eb="2">
      <t>タントウ</t>
    </rPh>
    <phoneticPr fontId="1"/>
  </si>
  <si>
    <t>使えるリソースなども考慮し、BCM方針(2.02）やリソースの代替方針（3.04）を</t>
    <rPh sb="0" eb="1">
      <t>ツカ</t>
    </rPh>
    <rPh sb="10" eb="12">
      <t>コウリョ</t>
    </rPh>
    <rPh sb="17" eb="19">
      <t>ホウシン</t>
    </rPh>
    <rPh sb="31" eb="33">
      <t>ダイガエ</t>
    </rPh>
    <rPh sb="33" eb="35">
      <t>ホウシン</t>
    </rPh>
    <phoneticPr fontId="1"/>
  </si>
  <si>
    <t>業務名</t>
    <rPh sb="0" eb="3">
      <t>ギョウムメイ</t>
    </rPh>
    <phoneticPr fontId="1"/>
  </si>
  <si>
    <t>事業継続への影響度</t>
    <rPh sb="0" eb="2">
      <t>ジギョウ</t>
    </rPh>
    <rPh sb="2" eb="4">
      <t>ケイゾク</t>
    </rPh>
    <rPh sb="6" eb="9">
      <t>エイキョウド</t>
    </rPh>
    <phoneticPr fontId="1"/>
  </si>
  <si>
    <t>保守パーツ有無</t>
    <rPh sb="0" eb="2">
      <t>ホシュ</t>
    </rPh>
    <rPh sb="5" eb="7">
      <t>ウム</t>
    </rPh>
    <phoneticPr fontId="1"/>
  </si>
  <si>
    <t>脅威の想定・程度</t>
    <rPh sb="0" eb="2">
      <t>キョウイ</t>
    </rPh>
    <rPh sb="3" eb="5">
      <t>ソウテイ</t>
    </rPh>
    <rPh sb="6" eb="8">
      <t>テイド</t>
    </rPh>
    <phoneticPr fontId="1"/>
  </si>
  <si>
    <t>・重要業務に必要で、現地復旧の可能性のある資源や極力自力で復旧対応を行いたい資源を洗い出す</t>
    <rPh sb="1" eb="5">
      <t>ジュウヨウギョウム</t>
    </rPh>
    <rPh sb="6" eb="8">
      <t>ヒツヨウ</t>
    </rPh>
    <rPh sb="10" eb="14">
      <t>ゲンチフッキュウ</t>
    </rPh>
    <rPh sb="15" eb="18">
      <t>カノウセイ</t>
    </rPh>
    <rPh sb="21" eb="23">
      <t>シゲン</t>
    </rPh>
    <rPh sb="24" eb="26">
      <t>キョクリョク</t>
    </rPh>
    <rPh sb="26" eb="28">
      <t>ジリキ</t>
    </rPh>
    <rPh sb="29" eb="33">
      <t>フッキュウタイオウ</t>
    </rPh>
    <rPh sb="34" eb="35">
      <t>オコナ</t>
    </rPh>
    <rPh sb="38" eb="40">
      <t>シゲン</t>
    </rPh>
    <rPh sb="41" eb="42">
      <t>アラ</t>
    </rPh>
    <rPh sb="43" eb="44">
      <t>ダ</t>
    </rPh>
    <phoneticPr fontId="1"/>
  </si>
  <si>
    <t>資金繰り</t>
    <rPh sb="0" eb="3">
      <t>シキング</t>
    </rPh>
    <phoneticPr fontId="39"/>
  </si>
  <si>
    <t>修理依頼状況</t>
    <rPh sb="0" eb="4">
      <t>シュウリイライ</t>
    </rPh>
    <rPh sb="4" eb="6">
      <t>ジョウキョウ</t>
    </rPh>
    <phoneticPr fontId="1"/>
  </si>
  <si>
    <t>サービス業者</t>
    <rPh sb="4" eb="6">
      <t>ギョウシャ</t>
    </rPh>
    <phoneticPr fontId="1"/>
  </si>
  <si>
    <t>重要材料の在庫量積増し
仕入先へBCP策定を依頼</t>
    <rPh sb="0" eb="2">
      <t>ジュウヨウ</t>
    </rPh>
    <rPh sb="2" eb="4">
      <t>ザイリョウ</t>
    </rPh>
    <rPh sb="5" eb="7">
      <t>ザイコ</t>
    </rPh>
    <rPh sb="7" eb="8">
      <t>リョウ</t>
    </rPh>
    <rPh sb="8" eb="9">
      <t>ツ</t>
    </rPh>
    <rPh sb="9" eb="10">
      <t>マ</t>
    </rPh>
    <rPh sb="12" eb="15">
      <t>シイレサキ</t>
    </rPh>
    <rPh sb="19" eb="21">
      <t>サクテイ</t>
    </rPh>
    <rPh sb="22" eb="24">
      <t>イライ</t>
    </rPh>
    <phoneticPr fontId="1"/>
  </si>
  <si>
    <t>②建物被害状況</t>
    <rPh sb="1" eb="3">
      <t>タテモノ</t>
    </rPh>
    <rPh sb="3" eb="7">
      <t>ヒガイジョウキョウ</t>
    </rPh>
    <phoneticPr fontId="1"/>
  </si>
  <si>
    <t>BCMの基本方針</t>
    <rPh sb="4" eb="8">
      <t>キホンホウシン</t>
    </rPh>
    <phoneticPr fontId="1"/>
  </si>
  <si>
    <t>優先再開業務に関わるリソースの被害状況を把握</t>
    <rPh sb="0" eb="6">
      <t>ユウセンサイカイギョウム</t>
    </rPh>
    <rPh sb="7" eb="8">
      <t>カカ</t>
    </rPh>
    <rPh sb="15" eb="19">
      <t>ヒガイジョウキョウ</t>
    </rPh>
    <rPh sb="20" eb="22">
      <t>ハアク</t>
    </rPh>
    <phoneticPr fontId="1"/>
  </si>
  <si>
    <t>例：近隣居住の従業員に実地に確認してもらう</t>
  </si>
  <si>
    <t xml:space="preserve">
防災教育
防災訓練</t>
  </si>
  <si>
    <t>考慮点</t>
    <rPh sb="0" eb="3">
      <t>コウリョテン</t>
    </rPh>
    <phoneticPr fontId="1"/>
  </si>
  <si>
    <t>課題</t>
    <rPh sb="0" eb="2">
      <t>カダイ</t>
    </rPh>
    <phoneticPr fontId="1"/>
  </si>
  <si>
    <t>３．補足事項</t>
    <rPh sb="2" eb="4">
      <t>ホソク</t>
    </rPh>
    <rPh sb="4" eb="6">
      <t>ジコウ</t>
    </rPh>
    <phoneticPr fontId="1"/>
  </si>
  <si>
    <t>県道</t>
    <rPh sb="0" eb="1">
      <t>ケン</t>
    </rPh>
    <rPh sb="1" eb="2">
      <t>ドウ</t>
    </rPh>
    <phoneticPr fontId="1"/>
  </si>
  <si>
    <t>補足コメント</t>
    <rPh sb="0" eb="2">
      <t>ホソク</t>
    </rPh>
    <phoneticPr fontId="1"/>
  </si>
  <si>
    <t>必要ツール</t>
    <rPh sb="0" eb="2">
      <t>ヒツヨウ</t>
    </rPh>
    <phoneticPr fontId="1"/>
  </si>
  <si>
    <t>事業継続力の評価・見直し・改善</t>
    <rPh sb="0" eb="5">
      <t>ジギョウケイゾクリョク</t>
    </rPh>
    <rPh sb="6" eb="8">
      <t>ヒョウカ</t>
    </rPh>
    <rPh sb="9" eb="11">
      <t>ミナオ</t>
    </rPh>
    <rPh sb="13" eb="15">
      <t>カイゼン</t>
    </rPh>
    <phoneticPr fontId="1"/>
  </si>
  <si>
    <t>０時間</t>
    <rPh sb="1" eb="3">
      <t>ジカン</t>
    </rPh>
    <phoneticPr fontId="1"/>
  </si>
  <si>
    <t>情報システム</t>
    <rPh sb="0" eb="2">
      <t>ジョウホウ</t>
    </rPh>
    <phoneticPr fontId="1"/>
  </si>
  <si>
    <t>原材料名</t>
    <rPh sb="0" eb="3">
      <t>ゲンザイリョウ</t>
    </rPh>
    <rPh sb="3" eb="4">
      <t>メイ</t>
    </rPh>
    <phoneticPr fontId="1"/>
  </si>
  <si>
    <t>【BCM評価・見直し・改善】</t>
    <rPh sb="4" eb="6">
      <t>ヒョウカ</t>
    </rPh>
    <rPh sb="7" eb="9">
      <t>ミナオ</t>
    </rPh>
    <rPh sb="11" eb="13">
      <t>カイゼン</t>
    </rPh>
    <phoneticPr fontId="1"/>
  </si>
  <si>
    <t>・家損壊片付
・新築再建
　計画</t>
    <rPh sb="1" eb="2">
      <t>イエ</t>
    </rPh>
    <rPh sb="2" eb="4">
      <t>ソンカイ</t>
    </rPh>
    <rPh sb="4" eb="6">
      <t>カタヅケ</t>
    </rPh>
    <rPh sb="8" eb="10">
      <t>シンチク</t>
    </rPh>
    <rPh sb="10" eb="12">
      <t>サイケン</t>
    </rPh>
    <rPh sb="14" eb="16">
      <t>ケイカク</t>
    </rPh>
    <phoneticPr fontId="1"/>
  </si>
  <si>
    <t>脅威</t>
    <rPh sb="0" eb="2">
      <t>キョウイ</t>
    </rPh>
    <phoneticPr fontId="1"/>
  </si>
  <si>
    <t>様式１　　BCMの基本方針</t>
    <rPh sb="0" eb="2">
      <t>ヨウシキ</t>
    </rPh>
    <phoneticPr fontId="1"/>
  </si>
  <si>
    <t>様式４ 脅威一覧と業務および自社経営資源への影響</t>
    <rPh sb="4" eb="6">
      <t>キョウイ</t>
    </rPh>
    <rPh sb="6" eb="8">
      <t>イチラン</t>
    </rPh>
    <rPh sb="9" eb="11">
      <t>ギョウム</t>
    </rPh>
    <rPh sb="14" eb="16">
      <t>ジシャ</t>
    </rPh>
    <rPh sb="16" eb="20">
      <t>ケイエイシゲン</t>
    </rPh>
    <rPh sb="22" eb="24">
      <t>エイキョウ</t>
    </rPh>
    <phoneticPr fontId="1"/>
  </si>
  <si>
    <t>社会的影響
・批判</t>
    <rPh sb="0" eb="3">
      <t>シャカイテキ</t>
    </rPh>
    <rPh sb="3" eb="5">
      <t>エイキョウ</t>
    </rPh>
    <rPh sb="7" eb="9">
      <t>ヒハン</t>
    </rPh>
    <phoneticPr fontId="39"/>
  </si>
  <si>
    <t>トップコメント</t>
  </si>
  <si>
    <t>手元資金
（計）</t>
    <rPh sb="0" eb="4">
      <t>テモトシキン</t>
    </rPh>
    <rPh sb="6" eb="7">
      <t>ケイ</t>
    </rPh>
    <phoneticPr fontId="1"/>
  </si>
  <si>
    <t>様式１４　　演習・訓練計画</t>
    <rPh sb="0" eb="2">
      <t>ヨウシキ</t>
    </rPh>
    <rPh sb="6" eb="8">
      <t>エンシュウ</t>
    </rPh>
    <rPh sb="9" eb="13">
      <t>クンレンケイカク</t>
    </rPh>
    <phoneticPr fontId="1"/>
  </si>
  <si>
    <t>売上への影響</t>
    <rPh sb="0" eb="2">
      <t>ウリアゲ</t>
    </rPh>
    <rPh sb="4" eb="6">
      <t>エイキョウ</t>
    </rPh>
    <phoneticPr fontId="39"/>
  </si>
  <si>
    <t>写真記録化</t>
    <rPh sb="0" eb="2">
      <t>シャシン</t>
    </rPh>
    <rPh sb="2" eb="5">
      <t>キロクカ</t>
    </rPh>
    <phoneticPr fontId="1"/>
  </si>
  <si>
    <t>（今後の対応へのコメント）</t>
    <rPh sb="1" eb="3">
      <t>コンゴ</t>
    </rPh>
    <rPh sb="4" eb="6">
      <t>タイオウ</t>
    </rPh>
    <phoneticPr fontId="1"/>
  </si>
  <si>
    <t>従業員</t>
    <rPh sb="0" eb="3">
      <t>ジュウギョウイン</t>
    </rPh>
    <phoneticPr fontId="1"/>
  </si>
  <si>
    <t>検査機器整備</t>
    <rPh sb="0" eb="2">
      <t>ケンサ</t>
    </rPh>
    <rPh sb="2" eb="6">
      <t>キキセイビ</t>
    </rPh>
    <phoneticPr fontId="1"/>
  </si>
  <si>
    <t>管理番号体系　　例：リソース分類＋年度＋４桁連番</t>
    <rPh sb="0" eb="6">
      <t>カンリバンゴウタイケイ</t>
    </rPh>
    <rPh sb="8" eb="9">
      <t>レイ</t>
    </rPh>
    <rPh sb="14" eb="16">
      <t>ブンルイ</t>
    </rPh>
    <rPh sb="17" eb="19">
      <t>ネンド</t>
    </rPh>
    <rPh sb="21" eb="22">
      <t>ケタ</t>
    </rPh>
    <rPh sb="22" eb="24">
      <t>レンバン</t>
    </rPh>
    <phoneticPr fontId="1"/>
  </si>
  <si>
    <t>教育手段</t>
  </si>
  <si>
    <t>課題対応計画</t>
    <rPh sb="0" eb="2">
      <t>カダイ</t>
    </rPh>
    <rPh sb="2" eb="4">
      <t>タイオウ</t>
    </rPh>
    <rPh sb="4" eb="6">
      <t>ケイカク</t>
    </rPh>
    <phoneticPr fontId="1"/>
  </si>
  <si>
    <t>対象脅威</t>
    <rPh sb="0" eb="4">
      <t>タイショウキョウイ</t>
    </rPh>
    <phoneticPr fontId="1"/>
  </si>
  <si>
    <t>区分には、人命救助関係（AED、担架、医薬品など）、生命維持（水、食料、保存食・・）、衛生用品、などの種類</t>
    <rPh sb="0" eb="2">
      <t>クブン</t>
    </rPh>
    <rPh sb="5" eb="9">
      <t>ジンメイキュウジョ</t>
    </rPh>
    <rPh sb="9" eb="11">
      <t>カンケイ</t>
    </rPh>
    <rPh sb="16" eb="18">
      <t>タンカ</t>
    </rPh>
    <rPh sb="19" eb="22">
      <t>イヤクヒン</t>
    </rPh>
    <rPh sb="26" eb="30">
      <t>セイメイイジ</t>
    </rPh>
    <rPh sb="31" eb="32">
      <t>ミズ</t>
    </rPh>
    <rPh sb="33" eb="35">
      <t>ショクリョウ</t>
    </rPh>
    <rPh sb="36" eb="39">
      <t>ホゾンショク</t>
    </rPh>
    <rPh sb="43" eb="47">
      <t>エイセイヨウヒン</t>
    </rPh>
    <rPh sb="51" eb="53">
      <t>シュルイ</t>
    </rPh>
    <phoneticPr fontId="1"/>
  </si>
  <si>
    <t>被害状況</t>
  </si>
  <si>
    <t>インフラ</t>
  </si>
  <si>
    <t>１．顧客（来客）、従業員とその家族などの安全と安心を最優先とします。
２．当社製品（サービス）の提供を継続することでお客様の期待に応えます。
３．製品（サービス）の提供を継続することで、売上の確保を図り、会社の存続・発展を図ります。
４．会社の存続を実現することで、従業員の雇用の場を提供し続けます。
５．地域に根ざす企業として、支援できることについては積極的に協力いたします。
６．BCMは全社員がその精神や考え方を理解し、全社的活動として取り組みます。
以上の方針に基づきBCMの策定・運用を行うものとします。</t>
  </si>
  <si>
    <t>資金</t>
    <rPh sb="0" eb="2">
      <t>シキン</t>
    </rPh>
    <phoneticPr fontId="1"/>
  </si>
  <si>
    <t>対象脅威</t>
    <rPh sb="0" eb="2">
      <t>タイショウ</t>
    </rPh>
    <rPh sb="2" eb="4">
      <t>キョウイ</t>
    </rPh>
    <phoneticPr fontId="1"/>
  </si>
  <si>
    <t>（例）震度５強以上の地震が発生したとき、○川が危険水位、・・・・</t>
  </si>
  <si>
    <t>1.5時間前</t>
    <rPh sb="3" eb="6">
      <t>ジカンマエ</t>
    </rPh>
    <phoneticPr fontId="1"/>
  </si>
  <si>
    <t>復旧体制での製品製造の実施</t>
    <rPh sb="0" eb="2">
      <t>フッキュウ</t>
    </rPh>
    <rPh sb="2" eb="4">
      <t>タイセイ</t>
    </rPh>
    <rPh sb="6" eb="10">
      <t>セイヒンセイゾウ</t>
    </rPh>
    <rPh sb="11" eb="13">
      <t>ジッシ</t>
    </rPh>
    <phoneticPr fontId="1"/>
  </si>
  <si>
    <t>必要備品</t>
    <rPh sb="0" eb="4">
      <t>ヒツヨウビヒン</t>
    </rPh>
    <phoneticPr fontId="1"/>
  </si>
  <si>
    <t>方法・手順</t>
    <rPh sb="0" eb="2">
      <t>ホウホウ</t>
    </rPh>
    <rPh sb="3" eb="5">
      <t>テジュン</t>
    </rPh>
    <phoneticPr fontId="1"/>
  </si>
  <si>
    <t>脅威による想定事象・被害</t>
    <rPh sb="0" eb="2">
      <t>キョウイ</t>
    </rPh>
    <rPh sb="5" eb="9">
      <t>ソウテイジショウ</t>
    </rPh>
    <rPh sb="10" eb="12">
      <t>ヒガイ</t>
    </rPh>
    <phoneticPr fontId="1"/>
  </si>
  <si>
    <t>建物名</t>
    <rPh sb="0" eb="3">
      <t>タテモノメイ</t>
    </rPh>
    <phoneticPr fontId="1"/>
  </si>
  <si>
    <t>被災による、市場変化をにらみながら、全面復興計画を検討する
国等の復興支援を最大限に活用できるよう準備して置く
【補足】
元通りの復旧がベストか、の検討が必要
（成長領域に集中）</t>
    <rPh sb="0" eb="2">
      <t>ヒサイ</t>
    </rPh>
    <rPh sb="6" eb="10">
      <t>シジョウヘンカ</t>
    </rPh>
    <rPh sb="18" eb="20">
      <t>ゼンメン</t>
    </rPh>
    <rPh sb="20" eb="24">
      <t>フッコウケイカク</t>
    </rPh>
    <rPh sb="25" eb="27">
      <t>ケントウ</t>
    </rPh>
    <rPh sb="30" eb="32">
      <t>クニトウ</t>
    </rPh>
    <rPh sb="33" eb="37">
      <t>フッコウシエン</t>
    </rPh>
    <rPh sb="38" eb="41">
      <t>サイダイゲン</t>
    </rPh>
    <rPh sb="42" eb="44">
      <t>カツヨウ</t>
    </rPh>
    <rPh sb="49" eb="51">
      <t>ジュンビ</t>
    </rPh>
    <rPh sb="53" eb="54">
      <t>オ</t>
    </rPh>
    <rPh sb="75" eb="77">
      <t>ケントウ</t>
    </rPh>
    <phoneticPr fontId="1"/>
  </si>
  <si>
    <t>情報システム事故</t>
    <rPh sb="0" eb="2">
      <t>ジョウホウ</t>
    </rPh>
    <rPh sb="6" eb="8">
      <t>ジコ</t>
    </rPh>
    <phoneticPr fontId="1"/>
  </si>
  <si>
    <t>＊</t>
  </si>
  <si>
    <t xml:space="preserve">本社（○○部）　　　　　　　　代替実施場所
* 夜間･休日の場合の方法も記載することが望ましい。
</t>
  </si>
  <si>
    <t>利益への影響</t>
    <rPh sb="0" eb="2">
      <t>リエキ</t>
    </rPh>
    <rPh sb="4" eb="6">
      <t>エイキョウ</t>
    </rPh>
    <phoneticPr fontId="39"/>
  </si>
  <si>
    <t>危機状況補足</t>
    <rPh sb="0" eb="4">
      <t>キキジョウキョウ</t>
    </rPh>
    <rPh sb="4" eb="6">
      <t>ホソク</t>
    </rPh>
    <phoneticPr fontId="1"/>
  </si>
  <si>
    <t>本社事務</t>
    <rPh sb="0" eb="2">
      <t>ホンシャ</t>
    </rPh>
    <rPh sb="2" eb="4">
      <t>ジム</t>
    </rPh>
    <phoneticPr fontId="1"/>
  </si>
  <si>
    <t>応急対応メンバー（社員）の備蓄管理</t>
    <rPh sb="0" eb="4">
      <t>オウキュウタイオウ</t>
    </rPh>
    <rPh sb="9" eb="11">
      <t>シャイン</t>
    </rPh>
    <rPh sb="13" eb="15">
      <t>ビチク</t>
    </rPh>
    <rPh sb="15" eb="17">
      <t>カンリ</t>
    </rPh>
    <phoneticPr fontId="1"/>
  </si>
  <si>
    <t>得意先との関係</t>
    <rPh sb="0" eb="3">
      <t>トクイサキ</t>
    </rPh>
    <rPh sb="5" eb="7">
      <t>カンケイ</t>
    </rPh>
    <phoneticPr fontId="39"/>
  </si>
  <si>
    <t>直ぐにでも行うべきかを示す優先度</t>
    <rPh sb="0" eb="1">
      <t>ス</t>
    </rPh>
    <rPh sb="5" eb="6">
      <t>オコナ</t>
    </rPh>
    <rPh sb="11" eb="12">
      <t>シメ</t>
    </rPh>
    <rPh sb="13" eb="16">
      <t>ユウセンド</t>
    </rPh>
    <phoneticPr fontId="1"/>
  </si>
  <si>
    <t>多数の機器、設備の稼働が困難で影響大</t>
    <rPh sb="0" eb="2">
      <t>タスウ</t>
    </rPh>
    <rPh sb="3" eb="5">
      <t>キキ</t>
    </rPh>
    <rPh sb="6" eb="8">
      <t>セツビ</t>
    </rPh>
    <rPh sb="9" eb="11">
      <t>カドウ</t>
    </rPh>
    <rPh sb="12" eb="14">
      <t>コンナン</t>
    </rPh>
    <rPh sb="15" eb="17">
      <t>エイキョウ</t>
    </rPh>
    <rPh sb="17" eb="18">
      <t>ダイ</t>
    </rPh>
    <phoneticPr fontId="1"/>
  </si>
  <si>
    <t>災害協定対応</t>
    <rPh sb="0" eb="2">
      <t>サイガイ</t>
    </rPh>
    <rPh sb="2" eb="4">
      <t>キョウテイ</t>
    </rPh>
    <rPh sb="4" eb="6">
      <t>タイオウ</t>
    </rPh>
    <phoneticPr fontId="39"/>
  </si>
  <si>
    <t>実施時期</t>
    <rPh sb="0" eb="4">
      <t>ジッシジキ</t>
    </rPh>
    <phoneticPr fontId="1"/>
  </si>
  <si>
    <t>実施優先度</t>
    <rPh sb="0" eb="2">
      <t>ジッシ</t>
    </rPh>
    <rPh sb="2" eb="5">
      <t>ユウセンド</t>
    </rPh>
    <phoneticPr fontId="1"/>
  </si>
  <si>
    <t>当面は在庫で対応、代替調達先を商社や顧客と協力し確保</t>
    <rPh sb="0" eb="2">
      <t>トウメン</t>
    </rPh>
    <rPh sb="3" eb="5">
      <t>ザイコ</t>
    </rPh>
    <rPh sb="6" eb="8">
      <t>タイオウ</t>
    </rPh>
    <rPh sb="9" eb="11">
      <t>ダイガエ</t>
    </rPh>
    <rPh sb="11" eb="14">
      <t>チョウタツサキ</t>
    </rPh>
    <rPh sb="15" eb="17">
      <t>ショウシャ</t>
    </rPh>
    <rPh sb="18" eb="20">
      <t>コキャク</t>
    </rPh>
    <rPh sb="21" eb="23">
      <t>キョウリョク</t>
    </rPh>
    <rPh sb="24" eb="26">
      <t>カクホ</t>
    </rPh>
    <phoneticPr fontId="1"/>
  </si>
  <si>
    <t>車両等の
輸送手段</t>
    <rPh sb="0" eb="3">
      <t>シャリョウトウ</t>
    </rPh>
    <rPh sb="5" eb="9">
      <t>ユソウシュダン</t>
    </rPh>
    <phoneticPr fontId="1"/>
  </si>
  <si>
    <t>代替時の課題</t>
    <rPh sb="2" eb="3">
      <t>トキ</t>
    </rPh>
    <phoneticPr fontId="1"/>
  </si>
  <si>
    <t>重要度</t>
    <rPh sb="0" eb="3">
      <t>ジュウヨウド</t>
    </rPh>
    <phoneticPr fontId="39"/>
  </si>
  <si>
    <t>代替拠点設置の判断基準</t>
  </si>
  <si>
    <t>保険会社</t>
    <rPh sb="0" eb="4">
      <t>ホケンガイシャ</t>
    </rPh>
    <phoneticPr fontId="1"/>
  </si>
  <si>
    <t>業務実施場所の確保</t>
    <rPh sb="0" eb="2">
      <t>ギョウム</t>
    </rPh>
    <rPh sb="2" eb="4">
      <t>ジッシ</t>
    </rPh>
    <rPh sb="4" eb="6">
      <t>バショ</t>
    </rPh>
    <rPh sb="7" eb="9">
      <t>カクホ</t>
    </rPh>
    <phoneticPr fontId="1"/>
  </si>
  <si>
    <t>決定業務再開時期：他の評価項目別の時間を参考に、該当業務の再開時期を決定し、その時間を記入</t>
    <rPh sb="0" eb="2">
      <t>ケッテイ</t>
    </rPh>
    <rPh sb="2" eb="4">
      <t>ギョウム</t>
    </rPh>
    <rPh sb="4" eb="8">
      <t>サイカイジキ</t>
    </rPh>
    <rPh sb="9" eb="10">
      <t>タ</t>
    </rPh>
    <rPh sb="11" eb="15">
      <t>ヒョウカコウモク</t>
    </rPh>
    <rPh sb="15" eb="16">
      <t>ベツ</t>
    </rPh>
    <rPh sb="17" eb="19">
      <t>ジカン</t>
    </rPh>
    <rPh sb="20" eb="22">
      <t>サンコウ</t>
    </rPh>
    <rPh sb="24" eb="26">
      <t>ガイトウ</t>
    </rPh>
    <rPh sb="26" eb="28">
      <t>ギョウム</t>
    </rPh>
    <rPh sb="29" eb="33">
      <t>サイカイジキ</t>
    </rPh>
    <rPh sb="34" eb="36">
      <t>ケッテイ</t>
    </rPh>
    <rPh sb="40" eb="42">
      <t>ジカン</t>
    </rPh>
    <rPh sb="43" eb="45">
      <t>キニュウ</t>
    </rPh>
    <phoneticPr fontId="39"/>
  </si>
  <si>
    <t>　・復旧可能な資源は何かをあらかじめ整理しておく</t>
    <rPh sb="2" eb="4">
      <t>フッキュウ</t>
    </rPh>
    <rPh sb="4" eb="6">
      <t>カノウ</t>
    </rPh>
    <rPh sb="7" eb="9">
      <t>シゲン</t>
    </rPh>
    <rPh sb="10" eb="11">
      <t>ナニ</t>
    </rPh>
    <phoneticPr fontId="1"/>
  </si>
  <si>
    <t>軽微
（現地復旧戦略）</t>
    <rPh sb="0" eb="2">
      <t>ケイビ</t>
    </rPh>
    <rPh sb="4" eb="8">
      <t>ゲンチフッキュウ</t>
    </rPh>
    <rPh sb="8" eb="10">
      <t>センリャク</t>
    </rPh>
    <phoneticPr fontId="1"/>
  </si>
  <si>
    <t>連絡済数</t>
    <rPh sb="0" eb="2">
      <t>レンラク</t>
    </rPh>
    <rPh sb="2" eb="3">
      <t>ズ</t>
    </rPh>
    <rPh sb="3" eb="4">
      <t>スウ</t>
    </rPh>
    <phoneticPr fontId="1"/>
  </si>
  <si>
    <t>顧客要請の目標時間：顧客から強く要請されている、納品再開の許容時間</t>
    <rPh sb="0" eb="2">
      <t>コキャク</t>
    </rPh>
    <rPh sb="2" eb="4">
      <t>ヨウセイ</t>
    </rPh>
    <rPh sb="5" eb="7">
      <t>モクヒョウ</t>
    </rPh>
    <rPh sb="7" eb="9">
      <t>ジカン</t>
    </rPh>
    <rPh sb="10" eb="12">
      <t>コキャク</t>
    </rPh>
    <rPh sb="14" eb="15">
      <t>ツヨ</t>
    </rPh>
    <rPh sb="16" eb="18">
      <t>ヨウセイ</t>
    </rPh>
    <rPh sb="24" eb="26">
      <t>ノウヒン</t>
    </rPh>
    <rPh sb="26" eb="28">
      <t>サイカイ</t>
    </rPh>
    <rPh sb="29" eb="31">
      <t>キョヨウ</t>
    </rPh>
    <rPh sb="31" eb="33">
      <t>ジカン</t>
    </rPh>
    <phoneticPr fontId="39"/>
  </si>
  <si>
    <t>参加者所属・役職・氏名</t>
    <rPh sb="0" eb="3">
      <t>サンカシャ</t>
    </rPh>
    <rPh sb="3" eb="5">
      <t>ショゾク</t>
    </rPh>
    <rPh sb="6" eb="8">
      <t>ヤクショク</t>
    </rPh>
    <rPh sb="9" eb="11">
      <t>シメイ</t>
    </rPh>
    <phoneticPr fontId="1"/>
  </si>
  <si>
    <t>対応力が５０％程度減</t>
  </si>
  <si>
    <t>事業遂行への影響：　　あり　・　なし　・　不明</t>
    <rPh sb="21" eb="23">
      <t>フメイ</t>
    </rPh>
    <phoneticPr fontId="1"/>
  </si>
  <si>
    <t>日</t>
    <rPh sb="0" eb="1">
      <t>ヒ</t>
    </rPh>
    <phoneticPr fontId="1"/>
  </si>
  <si>
    <t>売上停止対応期間：売上がゼロでも従業員を雇用し体制維持が可能な期間（最悪の事態とならない限界時間）</t>
    <rPh sb="0" eb="2">
      <t>ウリアゲ</t>
    </rPh>
    <rPh sb="2" eb="4">
      <t>テイシ</t>
    </rPh>
    <rPh sb="4" eb="6">
      <t>タイオウ</t>
    </rPh>
    <rPh sb="6" eb="8">
      <t>キカン</t>
    </rPh>
    <rPh sb="9" eb="11">
      <t>ウリアゲ</t>
    </rPh>
    <rPh sb="16" eb="19">
      <t>ジュウギョウインン</t>
    </rPh>
    <rPh sb="20" eb="22">
      <t>コヨウ</t>
    </rPh>
    <rPh sb="23" eb="25">
      <t>タイセイ</t>
    </rPh>
    <rPh sb="25" eb="27">
      <t>イジ</t>
    </rPh>
    <rPh sb="28" eb="30">
      <t>カノウ</t>
    </rPh>
    <rPh sb="31" eb="33">
      <t>キカン</t>
    </rPh>
    <rPh sb="34" eb="36">
      <t>サイアク</t>
    </rPh>
    <rPh sb="37" eb="39">
      <t>ジタイ</t>
    </rPh>
    <rPh sb="44" eb="46">
      <t>ゲンカイ</t>
    </rPh>
    <rPh sb="46" eb="48">
      <t>ジカン</t>
    </rPh>
    <phoneticPr fontId="39"/>
  </si>
  <si>
    <t>災害協定対応開始時間：行政や業界団体等から、災害時緊急出動として対応を開始する時間</t>
    <rPh sb="0" eb="2">
      <t>サイガイ</t>
    </rPh>
    <rPh sb="2" eb="4">
      <t>キョウテイ</t>
    </rPh>
    <rPh sb="4" eb="6">
      <t>タイオウ</t>
    </rPh>
    <rPh sb="6" eb="10">
      <t>カイシジカン</t>
    </rPh>
    <rPh sb="11" eb="13">
      <t>ギョウセイ</t>
    </rPh>
    <rPh sb="14" eb="19">
      <t>ギョウカイダンタイトウ</t>
    </rPh>
    <rPh sb="22" eb="25">
      <t>サイガイジ</t>
    </rPh>
    <rPh sb="25" eb="29">
      <t>キンキュウシュツドウ</t>
    </rPh>
    <rPh sb="32" eb="34">
      <t>タイオウ</t>
    </rPh>
    <rPh sb="35" eb="37">
      <t>カイシ</t>
    </rPh>
    <rPh sb="39" eb="41">
      <t>ジカン</t>
    </rPh>
    <phoneticPr fontId="39"/>
  </si>
  <si>
    <t>輸送物流</t>
    <rPh sb="0" eb="2">
      <t>ユソウ</t>
    </rPh>
    <rPh sb="2" eb="4">
      <t>ブツリュウ</t>
    </rPh>
    <phoneticPr fontId="1"/>
  </si>
  <si>
    <t>検討のポイントを</t>
    <rPh sb="0" eb="2">
      <t>ケントウ</t>
    </rPh>
    <phoneticPr fontId="1"/>
  </si>
  <si>
    <t>現状課題</t>
    <rPh sb="0" eb="4">
      <t>ゲンジョウカダイ</t>
    </rPh>
    <phoneticPr fontId="1"/>
  </si>
  <si>
    <t>生産不能に、影響度大</t>
    <rPh sb="0" eb="2">
      <t>セイサン</t>
    </rPh>
    <rPh sb="2" eb="4">
      <t>フノウ</t>
    </rPh>
    <rPh sb="6" eb="9">
      <t>エイキョウド</t>
    </rPh>
    <rPh sb="9" eb="10">
      <t>ダイ</t>
    </rPh>
    <phoneticPr fontId="1"/>
  </si>
  <si>
    <t>不良、納期</t>
    <rPh sb="0" eb="2">
      <t>フリョウ</t>
    </rPh>
    <rPh sb="3" eb="5">
      <t>ノウキ</t>
    </rPh>
    <phoneticPr fontId="1"/>
  </si>
  <si>
    <t>* 社長、幹部、関連部局への連絡ルールなど</t>
  </si>
  <si>
    <t>業務名は、事業内容や売上構成、経営判断等により適宜設定してください</t>
    <rPh sb="0" eb="3">
      <t>ギョウムメイ</t>
    </rPh>
    <rPh sb="5" eb="9">
      <t>ジギョウナイヨウ</t>
    </rPh>
    <rPh sb="10" eb="14">
      <t>ウリアゲコウセイ</t>
    </rPh>
    <rPh sb="15" eb="20">
      <t>ケイエイハンダントウ</t>
    </rPh>
    <rPh sb="23" eb="25">
      <t>テキギ</t>
    </rPh>
    <rPh sb="25" eb="27">
      <t>セッテイ</t>
    </rPh>
    <phoneticPr fontId="1"/>
  </si>
  <si>
    <t>訓練区分</t>
    <rPh sb="0" eb="4">
      <t>クンレンクブン</t>
    </rPh>
    <phoneticPr fontId="1"/>
  </si>
  <si>
    <t>けが人ゼロ</t>
    <rPh sb="2" eb="3">
      <t>ニン</t>
    </rPh>
    <phoneticPr fontId="1"/>
  </si>
  <si>
    <t>業務可否</t>
    <rPh sb="0" eb="4">
      <t>ギョウムカヒ</t>
    </rPh>
    <phoneticPr fontId="1"/>
  </si>
  <si>
    <t>重要度判定
（総合判断の順位、
or選定業務に◯）</t>
    <rPh sb="0" eb="3">
      <t>ジュウヨウド</t>
    </rPh>
    <rPh sb="3" eb="5">
      <t>ハンテイ</t>
    </rPh>
    <rPh sb="7" eb="11">
      <t>ソウゴウハンダン</t>
    </rPh>
    <rPh sb="12" eb="14">
      <t>ジュンイ</t>
    </rPh>
    <rPh sb="18" eb="20">
      <t>センテイ</t>
    </rPh>
    <rPh sb="20" eb="22">
      <t>ギョウム</t>
    </rPh>
    <phoneticPr fontId="39"/>
  </si>
  <si>
    <t>避難誘導</t>
    <rPh sb="0" eb="4">
      <t>ヒナンユウドウ</t>
    </rPh>
    <phoneticPr fontId="1"/>
  </si>
  <si>
    <t>実施時期</t>
  </si>
  <si>
    <t>広範囲の顧客が同時被災の可能性</t>
    <rPh sb="0" eb="3">
      <t>コウハンイ</t>
    </rPh>
    <rPh sb="4" eb="6">
      <t>コキャク</t>
    </rPh>
    <rPh sb="7" eb="11">
      <t>ドウジヒサイ</t>
    </rPh>
    <rPh sb="12" eb="15">
      <t>カノウセイ</t>
    </rPh>
    <phoneticPr fontId="1"/>
  </si>
  <si>
    <t>全業務復興方針</t>
    <rPh sb="0" eb="3">
      <t>ゼンギョウム</t>
    </rPh>
    <rPh sb="3" eb="5">
      <t>フッコウ</t>
    </rPh>
    <rPh sb="5" eb="7">
      <t>ホウシン</t>
    </rPh>
    <phoneticPr fontId="1"/>
  </si>
  <si>
    <t>立入可否</t>
    <rPh sb="0" eb="4">
      <t>タチイリカヒ</t>
    </rPh>
    <phoneticPr fontId="1"/>
  </si>
  <si>
    <t>今年度重点テーマへの
対応状況</t>
    <rPh sb="0" eb="3">
      <t>コンネンド</t>
    </rPh>
    <rPh sb="3" eb="5">
      <t>ジュウテン</t>
    </rPh>
    <rPh sb="11" eb="13">
      <t>タイオウ</t>
    </rPh>
    <rPh sb="13" eb="15">
      <t>ジョウキョウ</t>
    </rPh>
    <phoneticPr fontId="1"/>
  </si>
  <si>
    <t xml:space="preserve">・対応メンバーは安全を確保しながら最終確認や待機
・外部との連絡や報告ができる準備をしておく
　（メールやホームページ等での問い合わせへの対応も準備）
</t>
    <rPh sb="1" eb="3">
      <t>タイオウ</t>
    </rPh>
    <rPh sb="8" eb="10">
      <t>アンゼン</t>
    </rPh>
    <rPh sb="11" eb="13">
      <t>カクホ</t>
    </rPh>
    <rPh sb="17" eb="21">
      <t>サイシュウカクニン</t>
    </rPh>
    <rPh sb="22" eb="24">
      <t>タイキ</t>
    </rPh>
    <rPh sb="26" eb="28">
      <t>ガイブ</t>
    </rPh>
    <rPh sb="30" eb="32">
      <t>レンラク</t>
    </rPh>
    <rPh sb="33" eb="35">
      <t>ホウコク</t>
    </rPh>
    <rPh sb="39" eb="41">
      <t>ジュンビ</t>
    </rPh>
    <rPh sb="59" eb="60">
      <t>トウ</t>
    </rPh>
    <rPh sb="62" eb="63">
      <t>ト</t>
    </rPh>
    <rPh sb="64" eb="65">
      <t>ア</t>
    </rPh>
    <rPh sb="69" eb="71">
      <t>タイオウ</t>
    </rPh>
    <rPh sb="72" eb="74">
      <t>ジュンビ</t>
    </rPh>
    <phoneticPr fontId="1"/>
  </si>
  <si>
    <t>スポット注文</t>
    <rPh sb="4" eb="6">
      <t>チュウモン</t>
    </rPh>
    <phoneticPr fontId="1"/>
  </si>
  <si>
    <t>危機状況</t>
    <rPh sb="0" eb="4">
      <t>キキジョウキョウ</t>
    </rPh>
    <phoneticPr fontId="1"/>
  </si>
  <si>
    <t>集合場所</t>
  </si>
  <si>
    <t>損害保険金</t>
    <rPh sb="0" eb="4">
      <t>ソンガイホケン</t>
    </rPh>
    <rPh sb="4" eb="5">
      <t>キン</t>
    </rPh>
    <phoneticPr fontId="1"/>
  </si>
  <si>
    <t>震度○の地震発生、○川が危険水位、・・・・</t>
  </si>
  <si>
    <t>状況</t>
    <rPh sb="0" eb="2">
      <t>ジョウキョウ</t>
    </rPh>
    <phoneticPr fontId="1"/>
  </si>
  <si>
    <t>優先業務再開方針</t>
    <rPh sb="0" eb="4">
      <t>ユウセンギョウム</t>
    </rPh>
    <rPh sb="4" eb="6">
      <t>サイカイ</t>
    </rPh>
    <rPh sb="6" eb="8">
      <t>ホウシン</t>
    </rPh>
    <phoneticPr fontId="1"/>
  </si>
  <si>
    <t>担当３</t>
    <rPh sb="0" eb="2">
      <t>タントウ</t>
    </rPh>
    <phoneticPr fontId="1"/>
  </si>
  <si>
    <t>顧客（市場）</t>
    <rPh sb="0" eb="2">
      <t>コキャク</t>
    </rPh>
    <rPh sb="3" eb="5">
      <t>シジョウ</t>
    </rPh>
    <phoneticPr fontId="1"/>
  </si>
  <si>
    <t>業務再開計画</t>
    <rPh sb="0" eb="2">
      <t>ギョウム</t>
    </rPh>
    <rPh sb="2" eb="4">
      <t>サイカイ</t>
    </rPh>
    <rPh sb="4" eb="6">
      <t>ケイカク</t>
    </rPh>
    <phoneticPr fontId="1"/>
  </si>
  <si>
    <t>１．BCMの目的</t>
    <rPh sb="6" eb="8">
      <t>モクテキ</t>
    </rPh>
    <phoneticPr fontId="1"/>
  </si>
  <si>
    <t>重要原材料の場合</t>
    <rPh sb="0" eb="2">
      <t>ジュウヨウ</t>
    </rPh>
    <rPh sb="2" eb="5">
      <t>ゲンザイリョウ</t>
    </rPh>
    <rPh sb="6" eb="8">
      <t>バアイ</t>
    </rPh>
    <phoneticPr fontId="1"/>
  </si>
  <si>
    <t>最新に維持できるよう、業務フローを作成中</t>
    <rPh sb="0" eb="2">
      <t>サイシン</t>
    </rPh>
    <rPh sb="3" eb="5">
      <t>イジ</t>
    </rPh>
    <rPh sb="11" eb="13">
      <t>ギョウム</t>
    </rPh>
    <rPh sb="17" eb="19">
      <t>サクセイ</t>
    </rPh>
    <rPh sb="19" eb="20">
      <t>チュウ</t>
    </rPh>
    <phoneticPr fontId="1"/>
  </si>
  <si>
    <t>２．BCMの基本方針</t>
    <rPh sb="6" eb="10">
      <t>キホンホウシン</t>
    </rPh>
    <phoneticPr fontId="1"/>
  </si>
  <si>
    <t>・パンデミック発生時のオペレーション
・情報利用不可の場合の復旧オペレーション（ハード、ソフト、インフラ）</t>
  </si>
  <si>
    <t>成果目標</t>
    <rPh sb="0" eb="4">
      <t>セイカモクヒョウ</t>
    </rPh>
    <phoneticPr fontId="1"/>
  </si>
  <si>
    <t>事前対策</t>
    <rPh sb="0" eb="4">
      <t>ジゼンタイサク</t>
    </rPh>
    <phoneticPr fontId="1"/>
  </si>
  <si>
    <t>報告ルール</t>
    <rPh sb="0" eb="2">
      <t>ホウコク</t>
    </rPh>
    <phoneticPr fontId="1"/>
  </si>
  <si>
    <t>検討実施日　　　　年　　月　　日</t>
    <rPh sb="0" eb="2">
      <t>ケントウ</t>
    </rPh>
    <rPh sb="2" eb="4">
      <t>ジッシ</t>
    </rPh>
    <rPh sb="4" eb="5">
      <t>ビ</t>
    </rPh>
    <rPh sb="9" eb="10">
      <t>ネン</t>
    </rPh>
    <rPh sb="12" eb="13">
      <t>ツキ</t>
    </rPh>
    <rPh sb="15" eb="16">
      <t>ヒ</t>
    </rPh>
    <phoneticPr fontId="39"/>
  </si>
  <si>
    <t>被災状況報告（第２報）　原則48時間以内に報告</t>
    <rPh sb="0" eb="1">
      <t>ダイ</t>
    </rPh>
    <rPh sb="7" eb="8">
      <t xml:space="preserve">  </t>
    </rPh>
    <rPh sb="9" eb="10">
      <t/>
    </rPh>
    <phoneticPr fontId="1"/>
  </si>
  <si>
    <t>情報共有方法</t>
    <rPh sb="0" eb="6">
      <t>ジョウホウキョウユウホウホウ</t>
    </rPh>
    <phoneticPr fontId="1"/>
  </si>
  <si>
    <t>体制</t>
    <rPh sb="0" eb="2">
      <t>タイセイ</t>
    </rPh>
    <phoneticPr fontId="1"/>
  </si>
  <si>
    <t>バール、ジャッキ、かけや、他</t>
    <rPh sb="13" eb="14">
      <t>タ</t>
    </rPh>
    <phoneticPr fontId="1"/>
  </si>
  <si>
    <t>特殊技能者・重要資格保有者</t>
    <rPh sb="0" eb="2">
      <t>トクシュ</t>
    </rPh>
    <rPh sb="2" eb="5">
      <t>ギノウシャ</t>
    </rPh>
    <rPh sb="6" eb="8">
      <t>ジュウヨウ</t>
    </rPh>
    <rPh sb="8" eb="13">
      <t>シカクホユウシャ</t>
    </rPh>
    <phoneticPr fontId="1"/>
  </si>
  <si>
    <t>［想定例］　◯◯川氾濫</t>
    <rPh sb="8" eb="9">
      <t>カワ</t>
    </rPh>
    <rPh sb="9" eb="11">
      <t>ハンラン</t>
    </rPh>
    <phoneticPr fontId="1"/>
  </si>
  <si>
    <t>インフラ名</t>
    <rPh sb="4" eb="5">
      <t>メイ</t>
    </rPh>
    <phoneticPr fontId="1"/>
  </si>
  <si>
    <t>安否確認</t>
    <rPh sb="0" eb="4">
      <t>アンピカクニン</t>
    </rPh>
    <phoneticPr fontId="1"/>
  </si>
  <si>
    <t>　当社は、xxx　という経営理念にもとづき（社是に従い）、お客様からの信頼向上に　（より事業価値を高めるべく）日々事業活動に取り組んでいます。
　しかしながら、当地域では、南海トラフ巨大地震の発生が危惧されており、これら災害など経営基盤を揺るがすリスクへの対応を適切に図ることが求められています。
そして当社を取り巻くステークホルダーの方々の信頼を確保することが重要と考えています。
そこで、これら経営を脅かすリスクへの対応力を強化するため、以下の方針で事業継続計画（BCP)の策定と実効性を高めるためのBCMに取り組むこととします。</t>
    <rPh sb="22" eb="24">
      <t>シャゼ</t>
    </rPh>
    <rPh sb="25" eb="26">
      <t>シタガ</t>
    </rPh>
    <rPh sb="30" eb="32">
      <t>キャクサマ</t>
    </rPh>
    <rPh sb="35" eb="37">
      <t>シンライ</t>
    </rPh>
    <rPh sb="37" eb="39">
      <t>コウジョウ</t>
    </rPh>
    <rPh sb="139" eb="140">
      <t>モト</t>
    </rPh>
    <rPh sb="168" eb="170">
      <t>カタガタ</t>
    </rPh>
    <rPh sb="239" eb="241">
      <t>サクテイ</t>
    </rPh>
    <rPh sb="242" eb="245">
      <t>ジッコウセイ</t>
    </rPh>
    <rPh sb="246" eb="247">
      <t>タカ</t>
    </rPh>
    <phoneticPr fontId="1"/>
  </si>
  <si>
    <t>様式７　　被災状況の把握</t>
    <rPh sb="0" eb="2">
      <t>ヨウシキ</t>
    </rPh>
    <rPh sb="5" eb="9">
      <t>ヒサイジョウキョウ</t>
    </rPh>
    <rPh sb="10" eb="12">
      <t>ハアク</t>
    </rPh>
    <phoneticPr fontId="1"/>
  </si>
  <si>
    <t>被災状況</t>
    <rPh sb="0" eb="4">
      <t>ヒサイジョウキョウ</t>
    </rPh>
    <phoneticPr fontId="1"/>
  </si>
  <si>
    <t>支援環境整備項目</t>
    <rPh sb="0" eb="6">
      <t>シエンカンキョウセイビ</t>
    </rPh>
    <rPh sb="6" eb="8">
      <t>コウモク</t>
    </rPh>
    <phoneticPr fontId="1"/>
  </si>
  <si>
    <t>壁にひび</t>
    <rPh sb="0" eb="1">
      <t>カベ</t>
    </rPh>
    <phoneticPr fontId="1"/>
  </si>
  <si>
    <t>3か月</t>
    <rPh sb="2" eb="3">
      <t>ゲツ</t>
    </rPh>
    <phoneticPr fontId="1"/>
  </si>
  <si>
    <t>提供媒体</t>
  </si>
  <si>
    <t>必要費用（教材費、講師料、購入備品など）</t>
    <rPh sb="0" eb="4">
      <t>ヒツヨウヒヨウ</t>
    </rPh>
    <rPh sb="5" eb="8">
      <t>キョウザイヒ</t>
    </rPh>
    <rPh sb="9" eb="11">
      <t>コウシ</t>
    </rPh>
    <rPh sb="11" eb="12">
      <t>リョウ</t>
    </rPh>
    <rPh sb="13" eb="15">
      <t>コウニュウ</t>
    </rPh>
    <rPh sb="15" eb="17">
      <t>ビヒン</t>
    </rPh>
    <phoneticPr fontId="1"/>
  </si>
  <si>
    <t>屋根破損</t>
    <rPh sb="0" eb="2">
      <t>ヤネ</t>
    </rPh>
    <rPh sb="2" eb="4">
      <t>ハソン</t>
    </rPh>
    <phoneticPr fontId="1"/>
  </si>
  <si>
    <t>周囲の状況</t>
  </si>
  <si>
    <t>建物・設備等の被害状況：　　あり　・　なし　・　調査中</t>
    <rPh sb="24" eb="27">
      <t>チョウサチュウ</t>
    </rPh>
    <phoneticPr fontId="1"/>
  </si>
  <si>
    <t>火災発生の有無</t>
    <rPh sb="0" eb="4">
      <t>カサイハッセイ</t>
    </rPh>
    <rPh sb="5" eb="7">
      <t>ウム</t>
    </rPh>
    <phoneticPr fontId="1"/>
  </si>
  <si>
    <t>台風の状況が明確になってくるので、その状況に合わせた準備や機器等の確認など緊急時に困らないように準備を進めておく
・購入品は納期調整や在庫の積み増しを検討</t>
    <rPh sb="0" eb="2">
      <t>タイフウ</t>
    </rPh>
    <rPh sb="3" eb="5">
      <t>ジョウキョウ</t>
    </rPh>
    <rPh sb="6" eb="8">
      <t>メイカク</t>
    </rPh>
    <rPh sb="19" eb="21">
      <t>ジョウキョウ</t>
    </rPh>
    <rPh sb="22" eb="23">
      <t>ア</t>
    </rPh>
    <rPh sb="26" eb="28">
      <t>ジュンビ</t>
    </rPh>
    <rPh sb="29" eb="31">
      <t>キキ</t>
    </rPh>
    <rPh sb="31" eb="32">
      <t>トウ</t>
    </rPh>
    <rPh sb="33" eb="35">
      <t>カクニン</t>
    </rPh>
    <rPh sb="37" eb="40">
      <t>キンキュウジ</t>
    </rPh>
    <rPh sb="41" eb="42">
      <t>コマ</t>
    </rPh>
    <rPh sb="48" eb="50">
      <t>ジュンビ</t>
    </rPh>
    <rPh sb="51" eb="52">
      <t>スス</t>
    </rPh>
    <rPh sb="58" eb="61">
      <t>コウニュウヒン</t>
    </rPh>
    <rPh sb="62" eb="66">
      <t>ノウキチョウセイ</t>
    </rPh>
    <rPh sb="67" eb="69">
      <t>ザイコ</t>
    </rPh>
    <rPh sb="70" eb="71">
      <t>ツ</t>
    </rPh>
    <rPh sb="72" eb="73">
      <t>マ</t>
    </rPh>
    <rPh sb="75" eb="77">
      <t>ケントウ</t>
    </rPh>
    <phoneticPr fontId="1"/>
  </si>
  <si>
    <t>　　　緊急貸付等を受ける必要が生じる。</t>
  </si>
  <si>
    <t>人数</t>
    <rPh sb="0" eb="2">
      <t>ニンズウ</t>
    </rPh>
    <phoneticPr fontId="1"/>
  </si>
  <si>
    <t>　売上補填保険</t>
    <rPh sb="1" eb="3">
      <t>ウリアゲ</t>
    </rPh>
    <rPh sb="3" eb="5">
      <t>ホテン</t>
    </rPh>
    <rPh sb="5" eb="7">
      <t>ホケン</t>
    </rPh>
    <phoneticPr fontId="1"/>
  </si>
  <si>
    <t>けがの程度</t>
    <rPh sb="3" eb="5">
      <t>テイド</t>
    </rPh>
    <phoneticPr fontId="1"/>
  </si>
  <si>
    <t>目的</t>
  </si>
  <si>
    <t>依頼業者</t>
    <rPh sb="0" eb="4">
      <t>イライギョウシャ</t>
    </rPh>
    <phoneticPr fontId="1"/>
  </si>
  <si>
    <t>２．目標再開時期（目標復旧時間）と操業度</t>
    <rPh sb="2" eb="4">
      <t>モクヒョウ</t>
    </rPh>
    <rPh sb="4" eb="6">
      <t>サイカイ</t>
    </rPh>
    <rPh sb="6" eb="8">
      <t>ジキ</t>
    </rPh>
    <rPh sb="9" eb="11">
      <t>モクヒョウ</t>
    </rPh>
    <rPh sb="11" eb="15">
      <t>フッキュウジカン</t>
    </rPh>
    <rPh sb="17" eb="20">
      <t>ソウギョウド</t>
    </rPh>
    <phoneticPr fontId="39"/>
  </si>
  <si>
    <t>停電の有無</t>
    <rPh sb="0" eb="2">
      <t>テイデン</t>
    </rPh>
    <rPh sb="3" eb="5">
      <t>ウム</t>
    </rPh>
    <phoneticPr fontId="1"/>
  </si>
  <si>
    <t>携帯</t>
    <rPh sb="0" eb="2">
      <t>ケイタイ</t>
    </rPh>
    <phoneticPr fontId="1"/>
  </si>
  <si>
    <t>住宅被害や負傷などで出社困難者大</t>
    <rPh sb="0" eb="4">
      <t>ジュウタクヒガイ</t>
    </rPh>
    <rPh sb="5" eb="7">
      <t>フショウ</t>
    </rPh>
    <rPh sb="10" eb="12">
      <t>シュッシャ</t>
    </rPh>
    <rPh sb="12" eb="15">
      <t>コンナンシャ</t>
    </rPh>
    <rPh sb="15" eb="16">
      <t>ダイ</t>
    </rPh>
    <phoneticPr fontId="1"/>
  </si>
  <si>
    <t>事務所内散乱</t>
    <rPh sb="0" eb="4">
      <t>ジムショナイ</t>
    </rPh>
    <rPh sb="4" eb="6">
      <t>サンラン</t>
    </rPh>
    <phoneticPr fontId="1"/>
  </si>
  <si>
    <t>リソース名</t>
    <rPh sb="4" eb="5">
      <t>メイ</t>
    </rPh>
    <phoneticPr fontId="1"/>
  </si>
  <si>
    <t>　近隣被災状況</t>
    <rPh sb="1" eb="3">
      <t>キンリン</t>
    </rPh>
    <rPh sb="3" eb="7">
      <t>ヒサイジョウキョウ</t>
    </rPh>
    <phoneticPr fontId="1"/>
  </si>
  <si>
    <t>汎用設備は代替可能で影響中</t>
  </si>
  <si>
    <t>工場内散乱</t>
    <rPh sb="0" eb="3">
      <t>コウジョウナイ</t>
    </rPh>
    <rPh sb="3" eb="5">
      <t>サンラン</t>
    </rPh>
    <phoneticPr fontId="1"/>
  </si>
  <si>
    <t>今年度実施項目の７０％について完了したものの、進捗遅れや未着手項目もあった</t>
    <rPh sb="0" eb="3">
      <t>コンネンド</t>
    </rPh>
    <rPh sb="3" eb="5">
      <t>ジッシ</t>
    </rPh>
    <rPh sb="5" eb="7">
      <t>コウモク</t>
    </rPh>
    <rPh sb="15" eb="17">
      <t>カンリョウ</t>
    </rPh>
    <rPh sb="23" eb="25">
      <t>シンチョク</t>
    </rPh>
    <rPh sb="25" eb="26">
      <t>オク</t>
    </rPh>
    <rPh sb="28" eb="29">
      <t>ミ</t>
    </rPh>
    <rPh sb="29" eb="31">
      <t>チャクシュ</t>
    </rPh>
    <rPh sb="31" eb="33">
      <t>コウモク</t>
    </rPh>
    <phoneticPr fontId="1"/>
  </si>
  <si>
    <t>【被害状況の把握：速報編】</t>
    <rPh sb="1" eb="5">
      <t>ヒガイジョウキョウ</t>
    </rPh>
    <rPh sb="6" eb="8">
      <t>ハアク</t>
    </rPh>
    <rPh sb="9" eb="12">
      <t>ソクホウヘン</t>
    </rPh>
    <phoneticPr fontId="1"/>
  </si>
  <si>
    <t>トレーニング</t>
  </si>
  <si>
    <t>自己資金</t>
    <rPh sb="0" eb="4">
      <t>ジコシキン</t>
    </rPh>
    <phoneticPr fontId="1"/>
  </si>
  <si>
    <t>　現・預金</t>
    <rPh sb="1" eb="2">
      <t>ゲン</t>
    </rPh>
    <rPh sb="3" eb="5">
      <t>ヨキン</t>
    </rPh>
    <phoneticPr fontId="1"/>
  </si>
  <si>
    <t>怪我人等を想定した、救命救護訓練</t>
    <rPh sb="0" eb="4">
      <t>ケガニントウ</t>
    </rPh>
    <rPh sb="5" eb="7">
      <t>ソウテイ</t>
    </rPh>
    <rPh sb="10" eb="12">
      <t>キュウメイ</t>
    </rPh>
    <rPh sb="12" eb="14">
      <t>キュウゴ</t>
    </rPh>
    <rPh sb="14" eb="16">
      <t>クンレン</t>
    </rPh>
    <phoneticPr fontId="1"/>
  </si>
  <si>
    <t>減災対策</t>
    <rPh sb="0" eb="2">
      <t>ゲンサイ</t>
    </rPh>
    <rPh sb="2" eb="4">
      <t>タイサク</t>
    </rPh>
    <phoneticPr fontId="1"/>
  </si>
  <si>
    <t>完了予定日</t>
    <rPh sb="0" eb="2">
      <t>カンリョウ</t>
    </rPh>
    <rPh sb="2" eb="4">
      <t>ヨテイ</t>
    </rPh>
    <rPh sb="4" eb="5">
      <t>ビ</t>
    </rPh>
    <phoneticPr fontId="1"/>
  </si>
  <si>
    <t>支援企業との協力依頼項目を整理しているので、完了すれば、具体的交渉を予定</t>
    <rPh sb="0" eb="4">
      <t>シエンキギョウ</t>
    </rPh>
    <rPh sb="6" eb="8">
      <t>キョウリョク</t>
    </rPh>
    <rPh sb="8" eb="12">
      <t>イライコウモク</t>
    </rPh>
    <rPh sb="13" eb="15">
      <t>セイリ</t>
    </rPh>
    <rPh sb="22" eb="24">
      <t>カンリョウ</t>
    </rPh>
    <rPh sb="28" eb="33">
      <t>グタイテキコウショウ</t>
    </rPh>
    <rPh sb="34" eb="36">
      <t>ヨテイ</t>
    </rPh>
    <phoneticPr fontId="1"/>
  </si>
  <si>
    <t>倉庫・ヤード</t>
    <rPh sb="0" eb="2">
      <t>ソウコ</t>
    </rPh>
    <phoneticPr fontId="1"/>
  </si>
  <si>
    <t>現地復旧実施計画表</t>
    <rPh sb="0" eb="4">
      <t>ゲンチフッキュウ</t>
    </rPh>
    <rPh sb="4" eb="6">
      <t>ジッシ</t>
    </rPh>
    <rPh sb="6" eb="9">
      <t>ケイカクヒョウ</t>
    </rPh>
    <phoneticPr fontId="1"/>
  </si>
  <si>
    <t>設計</t>
    <rPh sb="0" eb="2">
      <t>セッケイ</t>
    </rPh>
    <phoneticPr fontId="1"/>
  </si>
  <si>
    <t>災害対策本部を設置する権限者の代理者</t>
  </si>
  <si>
    <t>　定期預金</t>
    <rPh sb="1" eb="5">
      <t>テイキヨキン</t>
    </rPh>
    <phoneticPr fontId="1"/>
  </si>
  <si>
    <t>③資材・仕掛・完成品等の被災状況</t>
    <rPh sb="1" eb="3">
      <t>シザイ</t>
    </rPh>
    <rPh sb="4" eb="6">
      <t>シカカリ</t>
    </rPh>
    <rPh sb="7" eb="10">
      <t>カンセイヒン</t>
    </rPh>
    <rPh sb="10" eb="11">
      <t>トウ</t>
    </rPh>
    <rPh sb="12" eb="16">
      <t>ヒサイジョウキョウ</t>
    </rPh>
    <phoneticPr fontId="1"/>
  </si>
  <si>
    <t>2年後</t>
  </si>
  <si>
    <t>　自己調達可能資金</t>
    <rPh sb="1" eb="3">
      <t>ジコ</t>
    </rPh>
    <rPh sb="3" eb="9">
      <t>チョウタツカノウシキン</t>
    </rPh>
    <phoneticPr fontId="1"/>
  </si>
  <si>
    <t>役員</t>
    <rPh sb="0" eb="2">
      <t>ヤクイン</t>
    </rPh>
    <phoneticPr fontId="1"/>
  </si>
  <si>
    <t>品番・製品種</t>
    <rPh sb="0" eb="2">
      <t>ヒンバン</t>
    </rPh>
    <rPh sb="3" eb="6">
      <t>セイヒンシュ</t>
    </rPh>
    <phoneticPr fontId="1"/>
  </si>
  <si>
    <t>被害前
総人員</t>
    <rPh sb="0" eb="3">
      <t>ヒガイマエ</t>
    </rPh>
    <rPh sb="4" eb="7">
      <t>ソウジンイン</t>
    </rPh>
    <phoneticPr fontId="1"/>
  </si>
  <si>
    <t>様式１０　　復旧の実施策と事前対策</t>
    <rPh sb="0" eb="2">
      <t>ヨウシキ</t>
    </rPh>
    <rPh sb="6" eb="8">
      <t>フッキュウ</t>
    </rPh>
    <rPh sb="9" eb="11">
      <t>ジッシ</t>
    </rPh>
    <rPh sb="11" eb="12">
      <t>サク</t>
    </rPh>
    <rPh sb="13" eb="17">
      <t>ジゼンタイサク</t>
    </rPh>
    <phoneticPr fontId="1"/>
  </si>
  <si>
    <t>融資による資金</t>
    <rPh sb="0" eb="2">
      <t>ユウシ</t>
    </rPh>
    <rPh sb="5" eb="7">
      <t>シキン</t>
    </rPh>
    <phoneticPr fontId="1"/>
  </si>
  <si>
    <t>火災保険</t>
    <rPh sb="0" eb="4">
      <t>カサイホケン</t>
    </rPh>
    <phoneticPr fontId="1"/>
  </si>
  <si>
    <t>　火災保険（地震特約）</t>
    <rPh sb="1" eb="5">
      <t>カサイホケン</t>
    </rPh>
    <rPh sb="6" eb="8">
      <t>ジシン</t>
    </rPh>
    <rPh sb="8" eb="10">
      <t>トクヤク</t>
    </rPh>
    <phoneticPr fontId="1"/>
  </si>
  <si>
    <t>　　優先業務遂行に関しての詳細報告</t>
    <rPh sb="2" eb="6">
      <t>ユウセンギョウム</t>
    </rPh>
    <rPh sb="6" eb="8">
      <t>スイコウ</t>
    </rPh>
    <rPh sb="9" eb="10">
      <t>カン</t>
    </rPh>
    <rPh sb="13" eb="17">
      <t>ショウサイホウコク</t>
    </rPh>
    <phoneticPr fontId="1"/>
  </si>
  <si>
    <t>交渉前に先方社長との面談に社長の同席もお願いし、進める予定</t>
    <rPh sb="0" eb="2">
      <t>コウショウ</t>
    </rPh>
    <rPh sb="2" eb="3">
      <t>マエ</t>
    </rPh>
    <rPh sb="4" eb="8">
      <t>センポウシャチョウ</t>
    </rPh>
    <rPh sb="10" eb="12">
      <t>メンダン</t>
    </rPh>
    <rPh sb="13" eb="14">
      <t>シャ</t>
    </rPh>
    <rPh sb="14" eb="15">
      <t>チョウ</t>
    </rPh>
    <rPh sb="16" eb="18">
      <t>ドウセキ</t>
    </rPh>
    <rPh sb="20" eb="21">
      <t>ネガ</t>
    </rPh>
    <rPh sb="24" eb="25">
      <t>スス</t>
    </rPh>
    <rPh sb="27" eb="29">
      <t>ヨテイ</t>
    </rPh>
    <phoneticPr fontId="1"/>
  </si>
  <si>
    <t>被災状況により、現地での事業再開の可否を検討の可能性あり
事業再開や事業転換に関する国等の復興支援を最大限活用できるように準備しておく
【補足】
被災状況などによっては、全面的な見直しも</t>
    <rPh sb="0" eb="2">
      <t>ヒサイ</t>
    </rPh>
    <rPh sb="2" eb="4">
      <t>ジョウキョウ</t>
    </rPh>
    <rPh sb="8" eb="10">
      <t>ゲンチ</t>
    </rPh>
    <rPh sb="12" eb="14">
      <t>ジギョウ</t>
    </rPh>
    <rPh sb="14" eb="16">
      <t>サイカイ</t>
    </rPh>
    <rPh sb="17" eb="19">
      <t>カヒ</t>
    </rPh>
    <rPh sb="20" eb="22">
      <t>ケントウ</t>
    </rPh>
    <rPh sb="23" eb="26">
      <t>カノウセイ</t>
    </rPh>
    <rPh sb="29" eb="31">
      <t>ジギョウ</t>
    </rPh>
    <rPh sb="31" eb="33">
      <t>サイカイ</t>
    </rPh>
    <rPh sb="34" eb="36">
      <t>ジギョウ</t>
    </rPh>
    <rPh sb="36" eb="38">
      <t>テンカン</t>
    </rPh>
    <rPh sb="39" eb="40">
      <t>カン</t>
    </rPh>
    <rPh sb="42" eb="43">
      <t>クニ</t>
    </rPh>
    <rPh sb="43" eb="44">
      <t>トウ</t>
    </rPh>
    <rPh sb="45" eb="47">
      <t>フッコウ</t>
    </rPh>
    <rPh sb="47" eb="49">
      <t>シエン</t>
    </rPh>
    <rPh sb="50" eb="53">
      <t>サイダイゲン</t>
    </rPh>
    <rPh sb="53" eb="55">
      <t>カツヨウ</t>
    </rPh>
    <rPh sb="61" eb="63">
      <t>ジュンビ</t>
    </rPh>
    <phoneticPr fontId="1"/>
  </si>
  <si>
    <t>・休業に備え顧客や取引先に事前連絡しておく
・ホームページに台風当日の対応・緊急時の連絡先について掲載する
・必要マニュアル、水・食料、スマホの充電など点検準備</t>
    <rPh sb="1" eb="3">
      <t>キュウギョウ</t>
    </rPh>
    <rPh sb="4" eb="5">
      <t>ソナ</t>
    </rPh>
    <rPh sb="6" eb="8">
      <t>コキャク</t>
    </rPh>
    <rPh sb="9" eb="12">
      <t>トリヒキサキ</t>
    </rPh>
    <rPh sb="13" eb="17">
      <t>ジゼンレンラク</t>
    </rPh>
    <rPh sb="30" eb="32">
      <t>タイフウ</t>
    </rPh>
    <rPh sb="32" eb="34">
      <t>トウジツ</t>
    </rPh>
    <rPh sb="35" eb="37">
      <t>タイオウ</t>
    </rPh>
    <rPh sb="38" eb="41">
      <t>キンキュウジ</t>
    </rPh>
    <rPh sb="42" eb="45">
      <t>レンラクサキ</t>
    </rPh>
    <rPh sb="49" eb="51">
      <t>ケイサイ</t>
    </rPh>
    <rPh sb="76" eb="80">
      <t>テンケンジュンビ</t>
    </rPh>
    <phoneticPr fontId="1"/>
  </si>
  <si>
    <t>集合</t>
  </si>
  <si>
    <t>　地震保険</t>
    <rPh sb="1" eb="5">
      <t>ジシンホケン</t>
    </rPh>
    <phoneticPr fontId="1"/>
  </si>
  <si>
    <t>国等の支援対策など</t>
    <rPh sb="0" eb="2">
      <t>クニトウ</t>
    </rPh>
    <rPh sb="3" eb="7">
      <t>シエンタイサク</t>
    </rPh>
    <phoneticPr fontId="1"/>
  </si>
  <si>
    <t>復旧方法/手順</t>
    <rPh sb="0" eb="2">
      <t>フッキュウ</t>
    </rPh>
    <rPh sb="2" eb="4">
      <t>ホウホウ</t>
    </rPh>
    <rPh sb="5" eb="7">
      <t>テジュン</t>
    </rPh>
    <phoneticPr fontId="1"/>
  </si>
  <si>
    <t>　グループ補助金</t>
    <rPh sb="5" eb="8">
      <t>ホジョキン</t>
    </rPh>
    <phoneticPr fontId="1"/>
  </si>
  <si>
    <t>　けが人はいるか</t>
    <rPh sb="3" eb="4">
      <t>ニン</t>
    </rPh>
    <phoneticPr fontId="1"/>
  </si>
  <si>
    <t>教育による成果目標</t>
    <rPh sb="5" eb="7">
      <t>セイカ</t>
    </rPh>
    <rPh sb="7" eb="9">
      <t>モクヒョウ</t>
    </rPh>
    <phoneticPr fontId="1"/>
  </si>
  <si>
    <t>受講タイミング目安</t>
  </si>
  <si>
    <t>損害保険加入内訳</t>
    <rPh sb="0" eb="2">
      <t>ソンガイ</t>
    </rPh>
    <rPh sb="2" eb="4">
      <t>ホケン</t>
    </rPh>
    <rPh sb="4" eb="8">
      <t>カニュウウチワケ</t>
    </rPh>
    <phoneticPr fontId="1"/>
  </si>
  <si>
    <t>　災害特別融資</t>
    <rPh sb="1" eb="7">
      <t>サイガイトクベツユウシ</t>
    </rPh>
    <phoneticPr fontId="1"/>
  </si>
  <si>
    <t>④その他詳細被害確認項目</t>
    <rPh sb="3" eb="4">
      <t>タ</t>
    </rPh>
    <rPh sb="4" eb="8">
      <t>ショウサイヒガイ</t>
    </rPh>
    <rPh sb="8" eb="10">
      <t>カクニン</t>
    </rPh>
    <rPh sb="10" eb="12">
      <t>コウモク</t>
    </rPh>
    <phoneticPr fontId="1"/>
  </si>
  <si>
    <t>災害特別保証</t>
    <rPh sb="0" eb="6">
      <t>サイガイトクベツホショウ</t>
    </rPh>
    <phoneticPr fontId="1"/>
  </si>
  <si>
    <t>・修理に必要となる専用の工具や器具を準備しておく</t>
    <rPh sb="1" eb="3">
      <t>シュウリ</t>
    </rPh>
    <rPh sb="4" eb="6">
      <t>ヒツヨウ</t>
    </rPh>
    <rPh sb="9" eb="11">
      <t>センヨウ</t>
    </rPh>
    <rPh sb="12" eb="14">
      <t>コウグ</t>
    </rPh>
    <rPh sb="15" eb="17">
      <t>キグ</t>
    </rPh>
    <rPh sb="18" eb="20">
      <t>ジュンビ</t>
    </rPh>
    <phoneticPr fontId="1"/>
  </si>
  <si>
    <t>事前対策資金</t>
    <rPh sb="0" eb="4">
      <t>ジゼンタイサク</t>
    </rPh>
    <rPh sb="4" eb="6">
      <t>シキン</t>
    </rPh>
    <phoneticPr fontId="1"/>
  </si>
  <si>
    <t>融資により調達</t>
    <rPh sb="0" eb="2">
      <t>ユウシ</t>
    </rPh>
    <rPh sb="5" eb="7">
      <t>チョウタツ</t>
    </rPh>
    <phoneticPr fontId="1"/>
  </si>
  <si>
    <t>災害対策助成金</t>
    <rPh sb="0" eb="2">
      <t>サイガイ</t>
    </rPh>
    <rPh sb="2" eb="4">
      <t>タイサク</t>
    </rPh>
    <rPh sb="4" eb="7">
      <t>ジョセイキン</t>
    </rPh>
    <phoneticPr fontId="1"/>
  </si>
  <si>
    <t>特に重要なリソースが長期間、機能しない場合の対応策として、現地復旧が困難</t>
    <rPh sb="0" eb="1">
      <t>トク</t>
    </rPh>
    <rPh sb="2" eb="4">
      <t>ジュウヨウ</t>
    </rPh>
    <rPh sb="10" eb="12">
      <t>チョウキ</t>
    </rPh>
    <rPh sb="12" eb="13">
      <t>カン</t>
    </rPh>
    <rPh sb="14" eb="16">
      <t>キノウ</t>
    </rPh>
    <rPh sb="19" eb="21">
      <t>バアイ</t>
    </rPh>
    <rPh sb="22" eb="25">
      <t>タイオウサク</t>
    </rPh>
    <rPh sb="29" eb="31">
      <t>ゲンチ</t>
    </rPh>
    <rPh sb="31" eb="33">
      <t>フッキュウ</t>
    </rPh>
    <rPh sb="34" eb="36">
      <t>コンナン</t>
    </rPh>
    <phoneticPr fontId="1"/>
  </si>
  <si>
    <t>第３版様式１０ｊ（改）</t>
    <rPh sb="9" eb="10">
      <t>カイ</t>
    </rPh>
    <phoneticPr fontId="1"/>
  </si>
  <si>
    <t>様式９　　優先再開業務の再開計画策定</t>
    <rPh sb="0" eb="2">
      <t>ヨウシキ</t>
    </rPh>
    <rPh sb="5" eb="11">
      <t>ユウセンサイカイギョウム</t>
    </rPh>
    <rPh sb="12" eb="18">
      <t>サイカイケイカクサクテイ</t>
    </rPh>
    <phoneticPr fontId="1"/>
  </si>
  <si>
    <t>月２回</t>
    <rPh sb="0" eb="1">
      <t>ツキ</t>
    </rPh>
    <phoneticPr fontId="1"/>
  </si>
  <si>
    <t>被災状況の把握・評価（事業再開の観点から）</t>
    <rPh sb="0" eb="4">
      <t>ヒサイジョウキョウ</t>
    </rPh>
    <rPh sb="5" eb="7">
      <t>ハアク</t>
    </rPh>
    <rPh sb="8" eb="10">
      <t>ヒョウカ</t>
    </rPh>
    <rPh sb="11" eb="15">
      <t>ジギョウサイカイ</t>
    </rPh>
    <rPh sb="16" eb="18">
      <t>カンテン</t>
    </rPh>
    <phoneticPr fontId="1"/>
  </si>
  <si>
    <t>訓練対象者、定員数</t>
    <rPh sb="0" eb="5">
      <t>クンレンタイショウシャ</t>
    </rPh>
    <rPh sb="6" eb="8">
      <t>テイイン</t>
    </rPh>
    <rPh sb="8" eb="9">
      <t>スウ</t>
    </rPh>
    <phoneticPr fontId="1"/>
  </si>
  <si>
    <t>軽微被災の場合の優先業務の再開計画</t>
    <rPh sb="0" eb="2">
      <t>ケイビ</t>
    </rPh>
    <rPh sb="2" eb="4">
      <t>ヒサイ</t>
    </rPh>
    <rPh sb="5" eb="7">
      <t>バアイ</t>
    </rPh>
    <rPh sb="8" eb="12">
      <t>ユウセンギョウム</t>
    </rPh>
    <rPh sb="13" eb="17">
      <t>サイカイケイカク</t>
    </rPh>
    <phoneticPr fontId="1"/>
  </si>
  <si>
    <t>第３版様式１０ｈ</t>
  </si>
  <si>
    <t>甚大・壊滅被災の場合の優先業務の再開計画</t>
    <rPh sb="0" eb="2">
      <t>ジンダイ</t>
    </rPh>
    <rPh sb="3" eb="5">
      <t>カイメツ</t>
    </rPh>
    <rPh sb="5" eb="7">
      <t>ヒサイ</t>
    </rPh>
    <rPh sb="8" eb="10">
      <t>バアイ</t>
    </rPh>
    <rPh sb="11" eb="15">
      <t>ユウセンギョウム</t>
    </rPh>
    <rPh sb="16" eb="20">
      <t>サイカイケイカク</t>
    </rPh>
    <phoneticPr fontId="1"/>
  </si>
  <si>
    <t>ヒトの代替</t>
    <rPh sb="3" eb="5">
      <t>ダイガエ</t>
    </rPh>
    <phoneticPr fontId="1"/>
  </si>
  <si>
    <t>（自社体制）
（外部支援体制）</t>
    <rPh sb="1" eb="3">
      <t>ジシャ</t>
    </rPh>
    <rPh sb="3" eb="5">
      <t>タイセイ</t>
    </rPh>
    <phoneticPr fontId="1"/>
  </si>
  <si>
    <t>必要な仕様、条件</t>
    <rPh sb="0" eb="2">
      <t>ヒツヨウ</t>
    </rPh>
    <rPh sb="3" eb="5">
      <t>シヨウ</t>
    </rPh>
    <rPh sb="6" eb="8">
      <t>ジョウケン</t>
    </rPh>
    <phoneticPr fontId="1"/>
  </si>
  <si>
    <t>機器の代替</t>
    <rPh sb="0" eb="2">
      <t>キキ</t>
    </rPh>
    <rPh sb="3" eb="5">
      <t>ダイガエ</t>
    </rPh>
    <phoneticPr fontId="1"/>
  </si>
  <si>
    <t>概要</t>
    <rPh sb="0" eb="2">
      <t>ガイヨウ</t>
    </rPh>
    <phoneticPr fontId="1"/>
  </si>
  <si>
    <t>目標金額（千円）</t>
    <rPh sb="0" eb="2">
      <t>モクヒョウ</t>
    </rPh>
    <rPh sb="2" eb="4">
      <t>キンガク</t>
    </rPh>
    <rPh sb="5" eb="7">
      <t>センエン</t>
    </rPh>
    <phoneticPr fontId="1"/>
  </si>
  <si>
    <t>第３版様式１０ｇ</t>
  </si>
  <si>
    <t>様式５　経営資源一覧と想定脅威への対応表</t>
    <rPh sb="0" eb="2">
      <t>ヨウシキ</t>
    </rPh>
    <phoneticPr fontId="1"/>
  </si>
  <si>
    <t>様式１３　　教育計画</t>
    <rPh sb="0" eb="2">
      <t>ヨウシキ</t>
    </rPh>
    <rPh sb="6" eb="8">
      <t>キョウイク</t>
    </rPh>
    <rPh sb="8" eb="10">
      <t>ケイカク</t>
    </rPh>
    <phoneticPr fontId="1"/>
  </si>
  <si>
    <t>職場の業務リスクへの対応力とリスク軽減策の実施</t>
    <rPh sb="0" eb="2">
      <t>ショクバ</t>
    </rPh>
    <rPh sb="3" eb="5">
      <t>ギョウム</t>
    </rPh>
    <rPh sb="10" eb="13">
      <t>タイオウリョク</t>
    </rPh>
    <rPh sb="17" eb="19">
      <t>ケイゲン</t>
    </rPh>
    <rPh sb="19" eb="20">
      <t>サク</t>
    </rPh>
    <rPh sb="21" eb="23">
      <t>ジッシ</t>
    </rPh>
    <phoneticPr fontId="1"/>
  </si>
  <si>
    <t>報告者：</t>
  </si>
  <si>
    <t>災害時のインターネット回線確保</t>
  </si>
  <si>
    <t>管理者業務の見える化、代替担当者の教育・育成</t>
  </si>
  <si>
    <t>被災直前</t>
    <rPh sb="0" eb="2">
      <t>ヒサイ</t>
    </rPh>
    <rPh sb="2" eb="3">
      <t>チョク</t>
    </rPh>
    <rPh sb="3" eb="4">
      <t>マエ</t>
    </rPh>
    <phoneticPr fontId="1"/>
  </si>
  <si>
    <t>教育分類</t>
    <rPh sb="0" eb="2">
      <t>キョウイク</t>
    </rPh>
    <rPh sb="2" eb="4">
      <t>ブンルイ</t>
    </rPh>
    <phoneticPr fontId="1"/>
  </si>
  <si>
    <t>売上見込みの５％を災害対策資金として予算措置する</t>
    <rPh sb="0" eb="4">
      <t>ウリアゲミコ</t>
    </rPh>
    <rPh sb="9" eb="15">
      <t>サイガイタイサクシキン</t>
    </rPh>
    <rPh sb="18" eb="22">
      <t>ヨサンソチ</t>
    </rPh>
    <phoneticPr fontId="1"/>
  </si>
  <si>
    <t>教育項目（科目名、テーマ、・・・・）</t>
  </si>
  <si>
    <t>・現実の状況に合わせた対応となる
・会社でなければ行えないことと、自宅からでも可能なことを事前に決めておく</t>
    <rPh sb="1" eb="3">
      <t>ゲンジツ</t>
    </rPh>
    <rPh sb="4" eb="6">
      <t>ジョウキョウ</t>
    </rPh>
    <rPh sb="7" eb="8">
      <t>ア</t>
    </rPh>
    <rPh sb="11" eb="13">
      <t>タイオウ</t>
    </rPh>
    <rPh sb="18" eb="20">
      <t>カイシャ</t>
    </rPh>
    <rPh sb="25" eb="26">
      <t>オコナ</t>
    </rPh>
    <rPh sb="33" eb="35">
      <t>ジタク</t>
    </rPh>
    <rPh sb="39" eb="41">
      <t>カノウ</t>
    </rPh>
    <rPh sb="45" eb="47">
      <t>ジゼン</t>
    </rPh>
    <rPh sb="48" eb="49">
      <t>キ</t>
    </rPh>
    <phoneticPr fontId="1"/>
  </si>
  <si>
    <t>・このような流れを該当する資源に応じた形で展開し、優先度を意識し、対応可能範囲を広げていく</t>
    <rPh sb="6" eb="7">
      <t>ナガ</t>
    </rPh>
    <rPh sb="9" eb="11">
      <t>ガイトウ</t>
    </rPh>
    <rPh sb="13" eb="15">
      <t>シゲン</t>
    </rPh>
    <rPh sb="16" eb="17">
      <t>オウ</t>
    </rPh>
    <rPh sb="19" eb="20">
      <t>カタチ</t>
    </rPh>
    <rPh sb="21" eb="23">
      <t>テンカイ</t>
    </rPh>
    <rPh sb="25" eb="28">
      <t>ユウセンド</t>
    </rPh>
    <rPh sb="29" eb="31">
      <t>イシキ</t>
    </rPh>
    <rPh sb="33" eb="35">
      <t>タイオウ</t>
    </rPh>
    <rPh sb="35" eb="37">
      <t>カノウ</t>
    </rPh>
    <rPh sb="37" eb="39">
      <t>ハンイ</t>
    </rPh>
    <rPh sb="40" eb="41">
      <t>ヒロ</t>
    </rPh>
    <phoneticPr fontId="1"/>
  </si>
  <si>
    <t>⑥主要仕入先・取引先企業の被災状況</t>
    <rPh sb="1" eb="3">
      <t>シュヨウ</t>
    </rPh>
    <rPh sb="3" eb="6">
      <t>シイレサキ</t>
    </rPh>
    <rPh sb="7" eb="9">
      <t>トリヒキ</t>
    </rPh>
    <rPh sb="9" eb="10">
      <t>サキ</t>
    </rPh>
    <rPh sb="10" eb="12">
      <t>キギョウ</t>
    </rPh>
    <rPh sb="13" eb="15">
      <t>ヒサイ</t>
    </rPh>
    <rPh sb="15" eb="17">
      <t>ジョウキョウ</t>
    </rPh>
    <phoneticPr fontId="1"/>
  </si>
  <si>
    <t>実施時期</t>
    <rPh sb="0" eb="2">
      <t>ジッシ</t>
    </rPh>
    <rPh sb="2" eb="4">
      <t>ジキ</t>
    </rPh>
    <phoneticPr fontId="1"/>
  </si>
  <si>
    <t>これらを踏まえ、業務再開時期を決定し、業務再開準備を行う</t>
    <rPh sb="4" eb="5">
      <t>フ</t>
    </rPh>
    <rPh sb="8" eb="14">
      <t>ギョウムサイカイジキ</t>
    </rPh>
    <rPh sb="15" eb="17">
      <t>ケッテイ</t>
    </rPh>
    <rPh sb="19" eb="23">
      <t>ギョウムサイカイ</t>
    </rPh>
    <rPh sb="23" eb="25">
      <t>ジュンビ</t>
    </rPh>
    <rPh sb="26" eb="27">
      <t>オコナ</t>
    </rPh>
    <phoneticPr fontId="1"/>
  </si>
  <si>
    <t>所要時間</t>
    <rPh sb="0" eb="4">
      <t>ショヨウジカン</t>
    </rPh>
    <phoneticPr fontId="1"/>
  </si>
  <si>
    <t>安否確認の発動条件</t>
  </si>
  <si>
    <t>様式８　　復旧・復興資金と事前対策資金の確保</t>
    <rPh sb="0" eb="2">
      <t>ヨウシキ</t>
    </rPh>
    <rPh sb="5" eb="7">
      <t>フッキュウ</t>
    </rPh>
    <rPh sb="8" eb="10">
      <t>フッコウ</t>
    </rPh>
    <rPh sb="10" eb="12">
      <t>シキン</t>
    </rPh>
    <rPh sb="13" eb="17">
      <t>ジゼンタイサク</t>
    </rPh>
    <rPh sb="17" eb="19">
      <t>シキン</t>
    </rPh>
    <rPh sb="20" eb="22">
      <t>カクホ</t>
    </rPh>
    <phoneticPr fontId="1"/>
  </si>
  <si>
    <t>対象者</t>
    <rPh sb="0" eb="3">
      <t>タイショウシャ</t>
    </rPh>
    <phoneticPr fontId="1"/>
  </si>
  <si>
    <t>救出スタート、救出結果報告</t>
    <rPh sb="0" eb="2">
      <t>キュウシュツ</t>
    </rPh>
    <rPh sb="7" eb="9">
      <t>キュウシュツ</t>
    </rPh>
    <rPh sb="9" eb="13">
      <t>ケッカホウコク</t>
    </rPh>
    <phoneticPr fontId="1"/>
  </si>
  <si>
    <t>今年度重点テーマへの対応度</t>
    <rPh sb="0" eb="3">
      <t>コンネンド</t>
    </rPh>
    <rPh sb="3" eb="5">
      <t>ジュウテン</t>
    </rPh>
    <rPh sb="10" eb="12">
      <t>タイオウ</t>
    </rPh>
    <rPh sb="12" eb="13">
      <t>ド</t>
    </rPh>
    <phoneticPr fontId="1"/>
  </si>
  <si>
    <t>様式３　優先再開業務（重要業務）と目標再開時期＆操業度</t>
    <rPh sb="0" eb="2">
      <t>ヨウシキ</t>
    </rPh>
    <rPh sb="4" eb="6">
      <t>ユウセン</t>
    </rPh>
    <rPh sb="6" eb="8">
      <t>サイカイ</t>
    </rPh>
    <rPh sb="11" eb="15">
      <t>ジュウヨウギョウム</t>
    </rPh>
    <rPh sb="17" eb="19">
      <t>モクヒョウ</t>
    </rPh>
    <rPh sb="19" eb="23">
      <t>サイカイジキ</t>
    </rPh>
    <rPh sb="24" eb="27">
      <t>ソウギョウド</t>
    </rPh>
    <phoneticPr fontId="39"/>
  </si>
  <si>
    <t>備考</t>
    <rPh sb="0" eb="2">
      <t>ビコウ</t>
    </rPh>
    <phoneticPr fontId="1"/>
  </si>
  <si>
    <r>
      <t xml:space="preserve">注　関係の公的機関にも連絡する必要がある場合もあります。
　　　相手先には代替連絡拠点を事前に通知しておきます。それにより先方から連絡がつく可能性が高まります。
　　　非常時の連絡なので、複数の連絡手段と相手先の代理者の連絡先も把握するように。
　　　このリストは最新状態に維持するとともに、常備場所及び常時携帯すべき従業員を決めます。
　　　災害用伝言ダイヤル171、ＷＥＢ171、携帯用災害伝言板を互いに使用する可能性があれば、
      それも記入します。
</t>
    </r>
    <r>
      <rPr>
        <sz val="10"/>
        <color indexed="8"/>
        <rFont val="ＭＳ Ｐゴシック"/>
      </rPr>
      <t>出典：NPO法人事業継続推進機構「中小企業BCPステップアップ・ガイド」(4.0版)1-8ページ。一部修正。</t>
    </r>
    <r>
      <rPr>
        <sz val="11"/>
        <color theme="1"/>
        <rFont val="ＭＳ Ｐゴシック"/>
      </rPr>
      <t xml:space="preserve">
</t>
    </r>
    <rPh sb="84" eb="87">
      <t>ヒジョウジ</t>
    </rPh>
    <rPh sb="88" eb="90">
      <t>レンラク</t>
    </rPh>
    <rPh sb="94" eb="96">
      <t>フクスウ</t>
    </rPh>
    <rPh sb="97" eb="101">
      <t>レンラクシュダン</t>
    </rPh>
    <rPh sb="102" eb="105">
      <t>アイテサキ</t>
    </rPh>
    <rPh sb="106" eb="109">
      <t>ダイリシャ</t>
    </rPh>
    <rPh sb="110" eb="113">
      <t>レンラクサキ</t>
    </rPh>
    <rPh sb="114" eb="116">
      <t>ハアク</t>
    </rPh>
    <rPh sb="132" eb="134">
      <t>サイシン</t>
    </rPh>
    <rPh sb="134" eb="136">
      <t>ジョウタイ</t>
    </rPh>
    <rPh sb="137" eb="139">
      <t>イジ</t>
    </rPh>
    <phoneticPr fontId="1"/>
  </si>
  <si>
    <t>対応能力が５０％強低下</t>
    <rPh sb="0" eb="4">
      <t>タイオウノウリョク</t>
    </rPh>
    <rPh sb="8" eb="9">
      <t>キョウ</t>
    </rPh>
    <rPh sb="9" eb="11">
      <t>テイカ</t>
    </rPh>
    <phoneticPr fontId="1"/>
  </si>
  <si>
    <t>発災時の対応を具体的に考えるイメージトレーニング</t>
  </si>
  <si>
    <t>現地復旧実施検討表</t>
    <rPh sb="0" eb="2">
      <t>ゲンチ</t>
    </rPh>
    <rPh sb="2" eb="4">
      <t>フッキュウ</t>
    </rPh>
    <rPh sb="4" eb="6">
      <t>ジッシ</t>
    </rPh>
    <rPh sb="6" eb="9">
      <t>ケントウヒョウ</t>
    </rPh>
    <phoneticPr fontId="1"/>
  </si>
  <si>
    <t>目的</t>
    <rPh sb="0" eb="2">
      <t>モクテキ</t>
    </rPh>
    <phoneticPr fontId="1"/>
  </si>
  <si>
    <t>対象リソース名</t>
  </si>
  <si>
    <t>困難度　中</t>
    <rPh sb="0" eb="2">
      <t>コンナン</t>
    </rPh>
    <rPh sb="2" eb="3">
      <t>ド</t>
    </rPh>
    <rPh sb="4" eb="5">
      <t>チュウ</t>
    </rPh>
    <phoneticPr fontId="1"/>
  </si>
  <si>
    <t>組立技能者　6名</t>
  </si>
  <si>
    <t>経営資源一覧と想定脅威への対応表</t>
    <rPh sb="0" eb="4">
      <t>ケイエイシゲン</t>
    </rPh>
    <rPh sb="4" eb="6">
      <t>イチラン</t>
    </rPh>
    <rPh sb="7" eb="9">
      <t>ソウテイ</t>
    </rPh>
    <rPh sb="9" eb="11">
      <t>キョウイ</t>
    </rPh>
    <rPh sb="13" eb="15">
      <t>タイオウ</t>
    </rPh>
    <rPh sb="15" eb="16">
      <t>ヒョウ</t>
    </rPh>
    <phoneticPr fontId="1"/>
  </si>
  <si>
    <t>リソース分類</t>
    <rPh sb="4" eb="6">
      <t>ブンルイ</t>
    </rPh>
    <phoneticPr fontId="1"/>
  </si>
  <si>
    <t>実施担当</t>
    <rPh sb="0" eb="2">
      <t>ジッシ</t>
    </rPh>
    <rPh sb="2" eb="4">
      <t>タントウ</t>
    </rPh>
    <phoneticPr fontId="1"/>
  </si>
  <si>
    <t>準備事項</t>
    <rPh sb="0" eb="2">
      <t>ジュンビ</t>
    </rPh>
    <rPh sb="2" eb="4">
      <t>ジコウ</t>
    </rPh>
    <phoneticPr fontId="1"/>
  </si>
  <si>
    <t>実施内容</t>
    <rPh sb="0" eb="2">
      <t>ジッシ</t>
    </rPh>
    <rPh sb="2" eb="4">
      <t>ナイヨウ</t>
    </rPh>
    <phoneticPr fontId="1"/>
  </si>
  <si>
    <t>復旧費用</t>
    <rPh sb="0" eb="2">
      <t>フッキュウ</t>
    </rPh>
    <rPh sb="2" eb="4">
      <t>ヒヨウ</t>
    </rPh>
    <phoneticPr fontId="1"/>
  </si>
  <si>
    <t>型</t>
    <rPh sb="0" eb="1">
      <t>カタ</t>
    </rPh>
    <phoneticPr fontId="1"/>
  </si>
  <si>
    <t>費用概算</t>
    <rPh sb="0" eb="4">
      <t>ヒヨウガイサン</t>
    </rPh>
    <phoneticPr fontId="1"/>
  </si>
  <si>
    <t>仕掛</t>
    <rPh sb="0" eb="2">
      <t>シカカリ</t>
    </rPh>
    <phoneticPr fontId="1"/>
  </si>
  <si>
    <t>実施完了日</t>
    <rPh sb="0" eb="2">
      <t>ジッシ</t>
    </rPh>
    <rPh sb="2" eb="5">
      <t>カンリョウビ</t>
    </rPh>
    <phoneticPr fontId="1"/>
  </si>
  <si>
    <t>役割名</t>
  </si>
  <si>
    <t>演習・訓練計画</t>
    <rPh sb="0" eb="2">
      <t>エンシュウ</t>
    </rPh>
    <rPh sb="3" eb="5">
      <t>クンレン</t>
    </rPh>
    <rPh sb="5" eb="7">
      <t>ケイカク</t>
    </rPh>
    <phoneticPr fontId="1"/>
  </si>
  <si>
    <t>費用実績</t>
    <rPh sb="0" eb="2">
      <t>ヒヨウ</t>
    </rPh>
    <rPh sb="2" eb="4">
      <t>ジッセキ</t>
    </rPh>
    <phoneticPr fontId="1"/>
  </si>
  <si>
    <t>ガス</t>
  </si>
  <si>
    <t>代替時の課題</t>
    <rPh sb="0" eb="3">
      <t>ダイガエジ</t>
    </rPh>
    <rPh sb="4" eb="6">
      <t>カダイ</t>
    </rPh>
    <phoneticPr fontId="1"/>
  </si>
  <si>
    <t>完了サイン</t>
    <rPh sb="0" eb="2">
      <t>カンリョウ</t>
    </rPh>
    <phoneticPr fontId="1"/>
  </si>
  <si>
    <t>実施日</t>
    <rPh sb="0" eb="3">
      <t>ジッシビ</t>
    </rPh>
    <phoneticPr fontId="1"/>
  </si>
  <si>
    <t>洪水</t>
    <rPh sb="0" eb="2">
      <t>コウズイ</t>
    </rPh>
    <phoneticPr fontId="1"/>
  </si>
  <si>
    <t>小計</t>
    <rPh sb="0" eb="2">
      <t>ショウケイ</t>
    </rPh>
    <phoneticPr fontId="1"/>
  </si>
  <si>
    <t>どのような狙いをもって行うのか</t>
    <rPh sb="5" eb="6">
      <t>ネラ</t>
    </rPh>
    <rPh sb="11" eb="12">
      <t>オコナ</t>
    </rPh>
    <phoneticPr fontId="1"/>
  </si>
  <si>
    <t>高</t>
  </si>
  <si>
    <t>参加人数</t>
    <rPh sb="0" eb="2">
      <t>サンカ</t>
    </rPh>
    <rPh sb="2" eb="4">
      <t>ニンズウ</t>
    </rPh>
    <phoneticPr fontId="1"/>
  </si>
  <si>
    <t>BCM体制表</t>
    <rPh sb="3" eb="6">
      <t>タイセイヒョウ</t>
    </rPh>
    <phoneticPr fontId="1"/>
  </si>
  <si>
    <t>ここでは、重要な資源が予期しない状況で現実に利用や調達が不可能となった</t>
    <rPh sb="5" eb="7">
      <t>ジュウヨウ</t>
    </rPh>
    <rPh sb="8" eb="10">
      <t>シゲン</t>
    </rPh>
    <rPh sb="11" eb="13">
      <t>ヨキ</t>
    </rPh>
    <rPh sb="16" eb="18">
      <t>ジョウキョウ</t>
    </rPh>
    <rPh sb="19" eb="21">
      <t>ゲンジツ</t>
    </rPh>
    <rPh sb="22" eb="24">
      <t>リヨウ</t>
    </rPh>
    <rPh sb="25" eb="27">
      <t>チョウタツ</t>
    </rPh>
    <rPh sb="28" eb="31">
      <t>フカノウ</t>
    </rPh>
    <phoneticPr fontId="1"/>
  </si>
  <si>
    <t>電気・水を確保</t>
    <rPh sb="0" eb="2">
      <t>デンキ</t>
    </rPh>
    <rPh sb="3" eb="4">
      <t>ミズ</t>
    </rPh>
    <rPh sb="5" eb="7">
      <t>カクホ</t>
    </rPh>
    <phoneticPr fontId="1"/>
  </si>
  <si>
    <t>どのような対策を行うのか</t>
    <rPh sb="5" eb="7">
      <t>タイサク</t>
    </rPh>
    <rPh sb="8" eb="9">
      <t>オコナ</t>
    </rPh>
    <phoneticPr fontId="1"/>
  </si>
  <si>
    <t>（例）地震、台風、洪水警報</t>
  </si>
  <si>
    <t>参加者評価</t>
    <rPh sb="0" eb="3">
      <t>サンカシャ</t>
    </rPh>
    <rPh sb="3" eb="5">
      <t>ヒョウカ</t>
    </rPh>
    <phoneticPr fontId="1"/>
  </si>
  <si>
    <t>区分（演習、机上訓練、実動訓練）</t>
    <rPh sb="0" eb="2">
      <t>クブン</t>
    </rPh>
    <rPh sb="3" eb="5">
      <t>エンシュウ</t>
    </rPh>
    <rPh sb="6" eb="10">
      <t>キジョウクンレン</t>
    </rPh>
    <rPh sb="11" eb="15">
      <t>ジツドウクンレン</t>
    </rPh>
    <phoneticPr fontId="1"/>
  </si>
  <si>
    <t>出荷可能在庫製品の確認</t>
    <rPh sb="0" eb="6">
      <t>シュッカカノウザイコ</t>
    </rPh>
    <rPh sb="6" eb="8">
      <t>セイヒン</t>
    </rPh>
    <rPh sb="9" eb="11">
      <t>カクニン</t>
    </rPh>
    <phoneticPr fontId="1"/>
  </si>
  <si>
    <t>①手元資金＆融資の状況</t>
    <rPh sb="1" eb="5">
      <t>テモトシキン</t>
    </rPh>
    <rPh sb="6" eb="8">
      <t>ユウシ</t>
    </rPh>
    <rPh sb="9" eb="11">
      <t>ジョウキョウ</t>
    </rPh>
    <phoneticPr fontId="1"/>
  </si>
  <si>
    <t>自社BCPの内容、防災関連知識、救出・救命、サバイバル術</t>
    <rPh sb="0" eb="2">
      <t>ジシャ</t>
    </rPh>
    <rPh sb="6" eb="8">
      <t>ナイヨウ</t>
    </rPh>
    <rPh sb="9" eb="13">
      <t>ボウサイカンレン</t>
    </rPh>
    <rPh sb="13" eb="15">
      <t>チシキ</t>
    </rPh>
    <rPh sb="16" eb="18">
      <t>キュウシュツ</t>
    </rPh>
    <rPh sb="19" eb="21">
      <t>キュウメイ</t>
    </rPh>
    <rPh sb="27" eb="28">
      <t>ジュツ</t>
    </rPh>
    <phoneticPr fontId="1"/>
  </si>
  <si>
    <t>特　記　事　項</t>
    <rPh sb="0" eb="1">
      <t>トク</t>
    </rPh>
    <rPh sb="2" eb="3">
      <t>キ</t>
    </rPh>
    <rPh sb="4" eb="5">
      <t>コト</t>
    </rPh>
    <rPh sb="6" eb="7">
      <t>コウ</t>
    </rPh>
    <phoneticPr fontId="1"/>
  </si>
  <si>
    <t>在庫種類</t>
    <rPh sb="0" eb="4">
      <t>ザイコシュルイ</t>
    </rPh>
    <phoneticPr fontId="1"/>
  </si>
  <si>
    <t>金　　　額</t>
    <rPh sb="0" eb="1">
      <t>キン</t>
    </rPh>
    <rPh sb="4" eb="5">
      <t>ガク</t>
    </rPh>
    <phoneticPr fontId="1"/>
  </si>
  <si>
    <t>教育内容（概要）</t>
    <rPh sb="0" eb="2">
      <t>キョウイク</t>
    </rPh>
    <rPh sb="2" eb="4">
      <t>ナイヨウ</t>
    </rPh>
    <rPh sb="5" eb="7">
      <t>ガイヨウ</t>
    </rPh>
    <phoneticPr fontId="1"/>
  </si>
  <si>
    <t>出勤可能数</t>
    <rPh sb="0" eb="2">
      <t>シュッキン</t>
    </rPh>
    <rPh sb="2" eb="4">
      <t>カノウ</t>
    </rPh>
    <rPh sb="4" eb="5">
      <t>スウ</t>
    </rPh>
    <phoneticPr fontId="1"/>
  </si>
  <si>
    <t>風向きが通常であれば火山灰被害は小
首都圏への影響が大きければ主要顧客の被害大</t>
    <rPh sb="0" eb="2">
      <t>カザム</t>
    </rPh>
    <rPh sb="4" eb="6">
      <t>ツウジョウ</t>
    </rPh>
    <rPh sb="10" eb="13">
      <t>カザンバイ</t>
    </rPh>
    <rPh sb="13" eb="15">
      <t>ヒガイ</t>
    </rPh>
    <rPh sb="16" eb="17">
      <t>ショウ</t>
    </rPh>
    <rPh sb="18" eb="21">
      <t>シュトケン</t>
    </rPh>
    <rPh sb="23" eb="25">
      <t>エイキョウ</t>
    </rPh>
    <rPh sb="26" eb="27">
      <t>オオ</t>
    </rPh>
    <rPh sb="31" eb="33">
      <t>シュヨウ</t>
    </rPh>
    <rPh sb="33" eb="35">
      <t>コキャク</t>
    </rPh>
    <rPh sb="36" eb="38">
      <t>ヒガイ</t>
    </rPh>
    <rPh sb="38" eb="39">
      <t>ダイ</t>
    </rPh>
    <phoneticPr fontId="1"/>
  </si>
  <si>
    <t>訓練項目</t>
    <rPh sb="0" eb="2">
      <t>クンレン</t>
    </rPh>
    <rPh sb="2" eb="4">
      <t>コウモク</t>
    </rPh>
    <phoneticPr fontId="1"/>
  </si>
  <si>
    <t>品番等</t>
    <rPh sb="0" eb="2">
      <t>ヒンバン</t>
    </rPh>
    <rPh sb="2" eb="3">
      <t>トウ</t>
    </rPh>
    <phoneticPr fontId="1"/>
  </si>
  <si>
    <t>重要業務
再開時期</t>
    <rPh sb="0" eb="2">
      <t>ジュウヨウ</t>
    </rPh>
    <rPh sb="2" eb="4">
      <t>ギョウム</t>
    </rPh>
    <rPh sb="5" eb="7">
      <t>サイカイ</t>
    </rPh>
    <rPh sb="7" eb="9">
      <t>ジキ</t>
    </rPh>
    <phoneticPr fontId="39"/>
  </si>
  <si>
    <t>参考様式１０</t>
    <rPh sb="0" eb="4">
      <t>サンコウヨウシキ</t>
    </rPh>
    <phoneticPr fontId="1"/>
  </si>
  <si>
    <t>内定済保証額（千円）</t>
    <rPh sb="0" eb="3">
      <t>ナイテイズ</t>
    </rPh>
    <rPh sb="3" eb="6">
      <t>ホショウガク</t>
    </rPh>
    <rPh sb="7" eb="9">
      <t>センエン</t>
    </rPh>
    <phoneticPr fontId="1"/>
  </si>
  <si>
    <t>訓練内容</t>
    <rPh sb="0" eb="2">
      <t>クンレン</t>
    </rPh>
    <rPh sb="2" eb="4">
      <t>ナイヨウ</t>
    </rPh>
    <phoneticPr fontId="1"/>
  </si>
  <si>
    <t>事業継続力強化計画
による融資</t>
    <rPh sb="0" eb="5">
      <t>ジギョウケイゾクリョク</t>
    </rPh>
    <rPh sb="5" eb="9">
      <t>キョウカケイカク</t>
    </rPh>
    <rPh sb="13" eb="15">
      <t>ユウシ</t>
    </rPh>
    <phoneticPr fontId="1"/>
  </si>
  <si>
    <t>代替実施時の手順や実施内容の確認</t>
    <rPh sb="0" eb="2">
      <t>ダイガエ</t>
    </rPh>
    <rPh sb="2" eb="4">
      <t>ジッシ</t>
    </rPh>
    <rPh sb="4" eb="5">
      <t>ジ</t>
    </rPh>
    <rPh sb="6" eb="8">
      <t>テジュン</t>
    </rPh>
    <rPh sb="9" eb="11">
      <t>ジッシ</t>
    </rPh>
    <rPh sb="11" eb="13">
      <t>ナイヨウ</t>
    </rPh>
    <rPh sb="14" eb="16">
      <t>カクニン</t>
    </rPh>
    <phoneticPr fontId="1"/>
  </si>
  <si>
    <t>WEB対応のためネット接続で回避可能</t>
    <rPh sb="3" eb="5">
      <t>タイオウ</t>
    </rPh>
    <rPh sb="11" eb="13">
      <t>セツゾク</t>
    </rPh>
    <rPh sb="14" eb="16">
      <t>カイヒ</t>
    </rPh>
    <rPh sb="16" eb="18">
      <t>カノウ</t>
    </rPh>
    <phoneticPr fontId="1"/>
  </si>
  <si>
    <t>参加対象者</t>
    <rPh sb="0" eb="5">
      <t>サンカタイショウシャ</t>
    </rPh>
    <phoneticPr fontId="1"/>
  </si>
  <si>
    <t>修理完了</t>
    <rPh sb="0" eb="4">
      <t>シュウリカンリョウ</t>
    </rPh>
    <phoneticPr fontId="1"/>
  </si>
  <si>
    <t>訓練目的</t>
    <rPh sb="0" eb="4">
      <t>クンレンモクテキ</t>
    </rPh>
    <phoneticPr fontId="1"/>
  </si>
  <si>
    <t>様式１５　事業継続力の評価・見直し・改善　</t>
    <rPh sb="0" eb="2">
      <t>ヨウシキ</t>
    </rPh>
    <rPh sb="5" eb="10">
      <t>ジギョウケイゾクリョク</t>
    </rPh>
    <rPh sb="11" eb="13">
      <t>ヒョウカ</t>
    </rPh>
    <rPh sb="14" eb="16">
      <t>ミナオ</t>
    </rPh>
    <rPh sb="18" eb="20">
      <t>カイゼン</t>
    </rPh>
    <phoneticPr fontId="1"/>
  </si>
  <si>
    <t>訓練予定日</t>
    <rPh sb="0" eb="5">
      <t>クンレンヨテイビ</t>
    </rPh>
    <phoneticPr fontId="1"/>
  </si>
  <si>
    <t>次年度重点テーマ</t>
    <rPh sb="0" eb="3">
      <t>ジネンド</t>
    </rPh>
    <rPh sb="3" eb="5">
      <t>ジュウテン</t>
    </rPh>
    <phoneticPr fontId="1"/>
  </si>
  <si>
    <t>訓練時間</t>
    <rPh sb="0" eb="4">
      <t>クンレンジカン</t>
    </rPh>
    <phoneticPr fontId="1"/>
  </si>
  <si>
    <t>自社による復旧、支援企業による復旧支援や設備等の貸与</t>
  </si>
  <si>
    <t>【参考様式２】　BCM体制表</t>
    <rPh sb="11" eb="14">
      <t>タイセイヒョウ</t>
    </rPh>
    <phoneticPr fontId="1"/>
  </si>
  <si>
    <t>管理項目</t>
    <rPh sb="0" eb="2">
      <t>カンリ</t>
    </rPh>
    <rPh sb="2" eb="4">
      <t>コウモク</t>
    </rPh>
    <phoneticPr fontId="1"/>
  </si>
  <si>
    <t>訓練実施日</t>
    <rPh sb="0" eb="5">
      <t>クンレンジッシビ</t>
    </rPh>
    <phoneticPr fontId="1"/>
  </si>
  <si>
    <t>モバイル回線は3，5日つながりにくい
固定回線は10日間不通</t>
    <rPh sb="4" eb="6">
      <t>カイセン</t>
    </rPh>
    <rPh sb="10" eb="11">
      <t>ニチ</t>
    </rPh>
    <rPh sb="19" eb="23">
      <t>コテイカイセン</t>
    </rPh>
    <rPh sb="26" eb="27">
      <t>ニチ</t>
    </rPh>
    <rPh sb="27" eb="28">
      <t>カン</t>
    </rPh>
    <rPh sb="28" eb="30">
      <t>フツウ</t>
    </rPh>
    <phoneticPr fontId="1"/>
  </si>
  <si>
    <t>被災直後</t>
    <rPh sb="0" eb="2">
      <t>ヒサイ</t>
    </rPh>
    <phoneticPr fontId="1"/>
  </si>
  <si>
    <t>保険期間</t>
    <rPh sb="0" eb="2">
      <t>ホケン</t>
    </rPh>
    <rPh sb="2" eb="4">
      <t>キカン</t>
    </rPh>
    <phoneticPr fontId="1"/>
  </si>
  <si>
    <t>必要設備・機械の確保</t>
    <rPh sb="0" eb="2">
      <t>ヒツヨウ</t>
    </rPh>
    <rPh sb="2" eb="4">
      <t>セツビ</t>
    </rPh>
    <rPh sb="5" eb="7">
      <t>キカイ</t>
    </rPh>
    <rPh sb="8" eb="10">
      <t>カクホ</t>
    </rPh>
    <phoneticPr fontId="1"/>
  </si>
  <si>
    <t>訓練参加人数</t>
    <rPh sb="0" eb="4">
      <t>クンレンサンカ</t>
    </rPh>
    <rPh sb="4" eb="6">
      <t>ニンズウ</t>
    </rPh>
    <phoneticPr fontId="1"/>
  </si>
  <si>
    <t>準備項目</t>
    <rPh sb="0" eb="2">
      <t>ジュンビ</t>
    </rPh>
    <rPh sb="2" eb="4">
      <t>コウモク</t>
    </rPh>
    <phoneticPr fontId="1"/>
  </si>
  <si>
    <t>見直し内容（テーマ）</t>
    <rPh sb="0" eb="2">
      <t>ミナオ</t>
    </rPh>
    <rPh sb="3" eb="5">
      <t>ナイヨウ</t>
    </rPh>
    <phoneticPr fontId="1"/>
  </si>
  <si>
    <t>ガントチャートで進捗管理</t>
    <rPh sb="8" eb="12">
      <t>シンチョクカンリ</t>
    </rPh>
    <phoneticPr fontId="1"/>
  </si>
  <si>
    <t>BCMの評価</t>
    <rPh sb="4" eb="6">
      <t>ヒョウカ</t>
    </rPh>
    <phoneticPr fontId="1"/>
  </si>
  <si>
    <t>通常の修理・復旧や再調達では、業務再開までに時間がかかりすぎます。</t>
    <rPh sb="0" eb="2">
      <t>ツウジョウ</t>
    </rPh>
    <rPh sb="3" eb="5">
      <t>シュウリ</t>
    </rPh>
    <rPh sb="6" eb="8">
      <t>フッキュウ</t>
    </rPh>
    <rPh sb="9" eb="12">
      <t>サイチョウタツ</t>
    </rPh>
    <rPh sb="15" eb="19">
      <t>ギョウムサイカイ</t>
    </rPh>
    <rPh sb="22" eb="24">
      <t>ジカン</t>
    </rPh>
    <phoneticPr fontId="1"/>
  </si>
  <si>
    <t>安否確認方法一覧表</t>
    <rPh sb="0" eb="6">
      <t>アンピカクニンホウホウ</t>
    </rPh>
    <rPh sb="6" eb="9">
      <t>イチランヒョウ</t>
    </rPh>
    <phoneticPr fontId="1"/>
  </si>
  <si>
    <t>現地復旧への対応力</t>
    <rPh sb="0" eb="4">
      <t>ゲンチフッキュウ</t>
    </rPh>
    <rPh sb="6" eb="9">
      <t>タイオウリョク</t>
    </rPh>
    <phoneticPr fontId="1"/>
  </si>
  <si>
    <t>BCM内情報は最新状態を維持</t>
    <rPh sb="3" eb="4">
      <t>ナイ</t>
    </rPh>
    <rPh sb="4" eb="6">
      <t>ジョウホウ</t>
    </rPh>
    <rPh sb="7" eb="9">
      <t>サイシン</t>
    </rPh>
    <rPh sb="9" eb="11">
      <t>ジョウタイ</t>
    </rPh>
    <rPh sb="12" eb="14">
      <t>イジ</t>
    </rPh>
    <phoneticPr fontId="1"/>
  </si>
  <si>
    <t>災害対策本部を設置する権限者</t>
  </si>
  <si>
    <t>手段</t>
  </si>
  <si>
    <t>代替への対応力</t>
    <rPh sb="0" eb="2">
      <t>ダイガエ</t>
    </rPh>
    <rPh sb="4" eb="7">
      <t>タイオウリョク</t>
    </rPh>
    <phoneticPr fontId="1"/>
  </si>
  <si>
    <t>重要なスキル・技能</t>
    <rPh sb="0" eb="2">
      <t>ジュウヨウ</t>
    </rPh>
    <rPh sb="7" eb="9">
      <t>ギノウ</t>
    </rPh>
    <phoneticPr fontId="1"/>
  </si>
  <si>
    <t>事前対策の状況</t>
    <rPh sb="0" eb="2">
      <t>ジゼン</t>
    </rPh>
    <rPh sb="2" eb="4">
      <t>タイサク</t>
    </rPh>
    <rPh sb="5" eb="7">
      <t>ジョウキョウ</t>
    </rPh>
    <phoneticPr fontId="1"/>
  </si>
  <si>
    <t>サイバー犯罪</t>
    <rPh sb="4" eb="6">
      <t>ハンザイ</t>
    </rPh>
    <phoneticPr fontId="1"/>
  </si>
  <si>
    <t>基本的考え</t>
    <rPh sb="0" eb="3">
      <t>キホンテキ</t>
    </rPh>
    <rPh sb="3" eb="4">
      <t>カンガ</t>
    </rPh>
    <phoneticPr fontId="1"/>
  </si>
  <si>
    <t xml:space="preserve">全○名。
統括責任者、副統括責任者、被害状況確認、取引先緊急連絡、安否確認・情報収集などの担当者を記入
</t>
  </si>
  <si>
    <t>BCM活動の総合評価</t>
    <rPh sb="3" eb="5">
      <t>カツドウ</t>
    </rPh>
    <rPh sb="6" eb="10">
      <t>ソウゴウヒョウカ</t>
    </rPh>
    <phoneticPr fontId="1"/>
  </si>
  <si>
    <t>活用優先順位</t>
  </si>
  <si>
    <t>管理番号</t>
    <rPh sb="0" eb="4">
      <t>カンリバンゴウ</t>
    </rPh>
    <phoneticPr fontId="1"/>
  </si>
  <si>
    <t>参加でのコメント（反省点・改善点など）</t>
    <rPh sb="0" eb="2">
      <t>サンカ</t>
    </rPh>
    <rPh sb="9" eb="12">
      <t>ハンセイテン</t>
    </rPh>
    <rPh sb="13" eb="16">
      <t>カイゼンテン</t>
    </rPh>
    <phoneticPr fontId="1"/>
  </si>
  <si>
    <t>リソース関係</t>
    <rPh sb="4" eb="6">
      <t>カンケイ</t>
    </rPh>
    <phoneticPr fontId="1"/>
  </si>
  <si>
    <t>備　　　考</t>
    <rPh sb="0" eb="1">
      <t>ソナエ</t>
    </rPh>
    <rPh sb="4" eb="5">
      <t>コウ</t>
    </rPh>
    <phoneticPr fontId="1"/>
  </si>
  <si>
    <t>原材料・資材</t>
    <rPh sb="0" eb="1">
      <t>ゲン</t>
    </rPh>
    <rPh sb="1" eb="3">
      <t>ザイリョウ</t>
    </rPh>
    <rPh sb="4" eb="6">
      <t>シザイ</t>
    </rPh>
    <phoneticPr fontId="1"/>
  </si>
  <si>
    <t>危機対応関係</t>
    <rPh sb="0" eb="4">
      <t>キキタイオウ</t>
    </rPh>
    <rPh sb="4" eb="6">
      <t>カンケイ</t>
    </rPh>
    <phoneticPr fontId="1"/>
  </si>
  <si>
    <t>現状の課題</t>
    <rPh sb="0" eb="2">
      <t>ゲンジョウ</t>
    </rPh>
    <rPh sb="3" eb="5">
      <t>カダイ</t>
    </rPh>
    <phoneticPr fontId="1"/>
  </si>
  <si>
    <t>対策名称</t>
    <rPh sb="0" eb="4">
      <t>タイサクメイショウ</t>
    </rPh>
    <phoneticPr fontId="1"/>
  </si>
  <si>
    <t>見直し後の内容</t>
    <rPh sb="0" eb="2">
      <t>ミナオ</t>
    </rPh>
    <rPh sb="3" eb="4">
      <t>ゴ</t>
    </rPh>
    <rPh sb="5" eb="7">
      <t>ナイヨウ</t>
    </rPh>
    <phoneticPr fontId="1"/>
  </si>
  <si>
    <t>長期経営ビジョンの作成
暫定事業計画の検討
提携企業の選定と調整
提携企業との契約など</t>
    <rPh sb="0" eb="2">
      <t>チョウキ</t>
    </rPh>
    <rPh sb="2" eb="4">
      <t>ケイエイ</t>
    </rPh>
    <rPh sb="9" eb="11">
      <t>サクセイ</t>
    </rPh>
    <rPh sb="12" eb="16">
      <t>ザンテイジギョウ</t>
    </rPh>
    <rPh sb="16" eb="18">
      <t>ケイカク</t>
    </rPh>
    <rPh sb="19" eb="21">
      <t>ケントウ</t>
    </rPh>
    <rPh sb="22" eb="26">
      <t>テイケイキギョウ</t>
    </rPh>
    <rPh sb="27" eb="29">
      <t>センテイ</t>
    </rPh>
    <rPh sb="30" eb="32">
      <t>チョウセイ</t>
    </rPh>
    <rPh sb="33" eb="37">
      <t>テイケイキギョウ</t>
    </rPh>
    <rPh sb="39" eb="41">
      <t>ケイヤク</t>
    </rPh>
    <phoneticPr fontId="1"/>
  </si>
  <si>
    <t>見直し実施者</t>
    <rPh sb="0" eb="2">
      <t>ミナオ</t>
    </rPh>
    <rPh sb="3" eb="5">
      <t>ジッシ</t>
    </rPh>
    <rPh sb="5" eb="6">
      <t>シャ</t>
    </rPh>
    <phoneticPr fontId="1"/>
  </si>
  <si>
    <t>台風が発達し超大型に
東海地方に上陸の可能性
風速40m以上で、降雨量も1日で300mmが想定される</t>
    <rPh sb="0" eb="2">
      <t>タイフウ</t>
    </rPh>
    <rPh sb="3" eb="5">
      <t>ハッタツ</t>
    </rPh>
    <rPh sb="6" eb="7">
      <t>チョウ</t>
    </rPh>
    <rPh sb="7" eb="9">
      <t>オオガタ</t>
    </rPh>
    <rPh sb="11" eb="15">
      <t>トウカイチホウ</t>
    </rPh>
    <rPh sb="16" eb="18">
      <t>ジョウリク</t>
    </rPh>
    <rPh sb="19" eb="22">
      <t>カノウセイ</t>
    </rPh>
    <phoneticPr fontId="1"/>
  </si>
  <si>
    <t>可　・　否</t>
    <rPh sb="0" eb="1">
      <t>カ</t>
    </rPh>
    <rPh sb="4" eb="5">
      <t>ヒ</t>
    </rPh>
    <phoneticPr fontId="1"/>
  </si>
  <si>
    <t>見直し・改善会議実施予定日</t>
    <rPh sb="0" eb="2">
      <t>ミナオ</t>
    </rPh>
    <rPh sb="4" eb="6">
      <t>カイゼン</t>
    </rPh>
    <rPh sb="6" eb="8">
      <t>カイギ</t>
    </rPh>
    <rPh sb="8" eb="10">
      <t>ジッシ</t>
    </rPh>
    <rPh sb="10" eb="12">
      <t>ヨテイ</t>
    </rPh>
    <rPh sb="12" eb="13">
      <t>ビ</t>
    </rPh>
    <phoneticPr fontId="1"/>
  </si>
  <si>
    <t>報告日時：　　　年　　　月　　　日　　　　時　　　　分</t>
    <rPh sb="0" eb="2">
      <t>ホウコク</t>
    </rPh>
    <rPh sb="2" eb="4">
      <t>ニチジ</t>
    </rPh>
    <rPh sb="8" eb="9">
      <t>ネン</t>
    </rPh>
    <rPh sb="12" eb="13">
      <t>ガツ</t>
    </rPh>
    <rPh sb="16" eb="17">
      <t>ニチ</t>
    </rPh>
    <rPh sb="21" eb="22">
      <t>ジ</t>
    </rPh>
    <rPh sb="26" eb="27">
      <t>フン</t>
    </rPh>
    <phoneticPr fontId="1"/>
  </si>
  <si>
    <t>見直し・改善会議実施体制</t>
    <rPh sb="0" eb="2">
      <t>ミナオ</t>
    </rPh>
    <rPh sb="4" eb="6">
      <t>カイゼン</t>
    </rPh>
    <rPh sb="6" eb="8">
      <t>カイギ</t>
    </rPh>
    <rPh sb="8" eb="10">
      <t>ジッシ</t>
    </rPh>
    <rPh sb="10" eb="12">
      <t>タイセイ</t>
    </rPh>
    <phoneticPr fontId="1"/>
  </si>
  <si>
    <t>再調達困難度　大</t>
    <rPh sb="3" eb="6">
      <t>コンナンド</t>
    </rPh>
    <rPh sb="7" eb="8">
      <t>ダイ</t>
    </rPh>
    <phoneticPr fontId="1"/>
  </si>
  <si>
    <t>大</t>
    <rPh sb="0" eb="1">
      <t>ダイ</t>
    </rPh>
    <phoneticPr fontId="1"/>
  </si>
  <si>
    <t>　　
（１）被災後のイメージと各制度の知識を持って下さい
　　　皆さまの状況に合せ書込んでみて下さい
（２）災害の種類や災害の規模地域によって違うので
　　　必ずしもこの様にならない事をご承知おき下さい
（３）前提は防災➡非常持出し･１週間分の水･備蓄･異
　　　なる想定の訓練を繰返す、自助共助公助の精神で</t>
    <rPh sb="32" eb="33">
      <t>ミナ</t>
    </rPh>
    <rPh sb="36" eb="38">
      <t>ジョウキョウ</t>
    </rPh>
    <rPh sb="39" eb="40">
      <t>アワ</t>
    </rPh>
    <rPh sb="41" eb="43">
      <t>カキコ</t>
    </rPh>
    <rPh sb="47" eb="48">
      <t>クダ</t>
    </rPh>
    <rPh sb="107" eb="109">
      <t>ゼンテイ</t>
    </rPh>
    <rPh sb="110" eb="112">
      <t>ボウサイ</t>
    </rPh>
    <rPh sb="113" eb="117">
      <t>ヒジョウモチダ</t>
    </rPh>
    <rPh sb="120" eb="123">
      <t>シュウカンブン</t>
    </rPh>
    <rPh sb="124" eb="125">
      <t>ミズ</t>
    </rPh>
    <rPh sb="126" eb="128">
      <t>ビチク</t>
    </rPh>
    <rPh sb="129" eb="130">
      <t>コト</t>
    </rPh>
    <rPh sb="136" eb="138">
      <t>ソウテイ</t>
    </rPh>
    <rPh sb="139" eb="141">
      <t>クンレン</t>
    </rPh>
    <rPh sb="142" eb="144">
      <t>クリカエ</t>
    </rPh>
    <rPh sb="146" eb="148">
      <t>ジジョ</t>
    </rPh>
    <rPh sb="148" eb="150">
      <t>キョウジョ</t>
    </rPh>
    <rPh sb="150" eb="152">
      <t>コウジョ</t>
    </rPh>
    <rPh sb="153" eb="155">
      <t>セイシン</t>
    </rPh>
    <phoneticPr fontId="1"/>
  </si>
  <si>
    <t>見直し・改善項目</t>
    <rPh sb="0" eb="2">
      <t>ミナオ</t>
    </rPh>
    <rPh sb="4" eb="6">
      <t>カイゼン</t>
    </rPh>
    <rPh sb="6" eb="8">
      <t>コウモク</t>
    </rPh>
    <phoneticPr fontId="1"/>
  </si>
  <si>
    <t>様式表題</t>
    <rPh sb="0" eb="4">
      <t>ヨウシキヒョウダイ</t>
    </rPh>
    <phoneticPr fontId="1"/>
  </si>
  <si>
    <t>長期的経営戦略として、災害等の脅威に影響されにくい事業構造への変革を進める
暫定事業として、異業種を含め人材派遣などで、雇用の確保策を検討</t>
    <rPh sb="0" eb="3">
      <t>チョウキテキ</t>
    </rPh>
    <rPh sb="3" eb="7">
      <t>ケイエイセンリャク</t>
    </rPh>
    <rPh sb="11" eb="14">
      <t>サイガイトウ</t>
    </rPh>
    <rPh sb="15" eb="17">
      <t>キョウイ</t>
    </rPh>
    <rPh sb="18" eb="20">
      <t>エイキョウ</t>
    </rPh>
    <rPh sb="25" eb="29">
      <t>ジギョウコウゾウ</t>
    </rPh>
    <rPh sb="31" eb="33">
      <t>ヘンカク</t>
    </rPh>
    <rPh sb="34" eb="35">
      <t>スス</t>
    </rPh>
    <rPh sb="38" eb="40">
      <t>ザンテイ</t>
    </rPh>
    <rPh sb="40" eb="42">
      <t>ジギョウ</t>
    </rPh>
    <rPh sb="46" eb="49">
      <t>イギョウシュ</t>
    </rPh>
    <rPh sb="50" eb="51">
      <t>フク</t>
    </rPh>
    <rPh sb="52" eb="54">
      <t>ジンザイ</t>
    </rPh>
    <rPh sb="54" eb="56">
      <t>ハケン</t>
    </rPh>
    <rPh sb="60" eb="62">
      <t>コヨウ</t>
    </rPh>
    <rPh sb="63" eb="65">
      <t>カクホ</t>
    </rPh>
    <rPh sb="65" eb="66">
      <t>サク</t>
    </rPh>
    <rPh sb="67" eb="69">
      <t>ケントウ</t>
    </rPh>
    <phoneticPr fontId="1"/>
  </si>
  <si>
    <r>
      <t>参考：タイムライン【予測可能型】　超大型台風、</t>
    </r>
    <r>
      <rPr>
        <sz val="11"/>
        <color theme="1"/>
        <rFont val="ＭＳ Ｐゴシック"/>
      </rPr>
      <t>線状降水帯、豪雪　</t>
    </r>
    <rPh sb="0" eb="2">
      <t>サンコウ</t>
    </rPh>
    <rPh sb="10" eb="12">
      <t>ヨソク</t>
    </rPh>
    <rPh sb="12" eb="15">
      <t>カノウガタ</t>
    </rPh>
    <phoneticPr fontId="1"/>
  </si>
  <si>
    <t>設備名</t>
    <rPh sb="0" eb="3">
      <t>セツビメイ</t>
    </rPh>
    <phoneticPr fontId="1"/>
  </si>
  <si>
    <t>返品・返金、再制作、取引停止、損害賠償負担</t>
    <rPh sb="0" eb="2">
      <t>ヘンピン</t>
    </rPh>
    <rPh sb="3" eb="5">
      <t>ヘンキン</t>
    </rPh>
    <rPh sb="6" eb="7">
      <t>サイ</t>
    </rPh>
    <rPh sb="7" eb="9">
      <t>セイサク</t>
    </rPh>
    <rPh sb="10" eb="14">
      <t>トリヒキテイシ</t>
    </rPh>
    <rPh sb="15" eb="19">
      <t>ソンガイバイショウ</t>
    </rPh>
    <rPh sb="19" eb="21">
      <t>フタン</t>
    </rPh>
    <phoneticPr fontId="1"/>
  </si>
  <si>
    <t>噴火</t>
    <rPh sb="0" eb="2">
      <t>フンカ</t>
    </rPh>
    <phoneticPr fontId="1"/>
  </si>
  <si>
    <t>保管場所</t>
  </si>
  <si>
    <t>BCM評価予定日</t>
    <rPh sb="3" eb="5">
      <t>ヒョウカ</t>
    </rPh>
    <rPh sb="5" eb="7">
      <t>ヨテイ</t>
    </rPh>
    <rPh sb="7" eb="8">
      <t>ビ</t>
    </rPh>
    <phoneticPr fontId="1"/>
  </si>
  <si>
    <t>BCM評価体制</t>
    <rPh sb="3" eb="7">
      <t>ヒョウカタイセイ</t>
    </rPh>
    <phoneticPr fontId="1"/>
  </si>
  <si>
    <t>参考様式３と組合せ利用</t>
    <rPh sb="0" eb="2">
      <t>サンコウ</t>
    </rPh>
    <rPh sb="2" eb="4">
      <t>ヨウシキ</t>
    </rPh>
    <rPh sb="6" eb="8">
      <t>クミアワ</t>
    </rPh>
    <rPh sb="9" eb="11">
      <t>リヨウ</t>
    </rPh>
    <phoneticPr fontId="1"/>
  </si>
  <si>
    <t>訓練報告書</t>
    <rPh sb="0" eb="2">
      <t>クンレン</t>
    </rPh>
    <rPh sb="2" eb="5">
      <t>ホウコクショ</t>
    </rPh>
    <phoneticPr fontId="1"/>
  </si>
  <si>
    <t>･新規ﾛｰﾝ借入れ</t>
  </si>
  <si>
    <t>訓練実施方法</t>
    <rPh sb="0" eb="2">
      <t>クンレン</t>
    </rPh>
    <rPh sb="2" eb="4">
      <t>ジッシ</t>
    </rPh>
    <rPh sb="4" eb="6">
      <t>ホウホウ</t>
    </rPh>
    <phoneticPr fontId="1"/>
  </si>
  <si>
    <t>本社工場</t>
    <rPh sb="0" eb="2">
      <t>ホンシャ</t>
    </rPh>
    <rPh sb="2" eb="4">
      <t>コウジョウ</t>
    </rPh>
    <phoneticPr fontId="1"/>
  </si>
  <si>
    <t>参考に事業再開の具体策を検討する</t>
    <rPh sb="0" eb="2">
      <t>サンコウ</t>
    </rPh>
    <rPh sb="3" eb="7">
      <t>ジギョウサイカイ</t>
    </rPh>
    <rPh sb="8" eb="11">
      <t>グタイサク</t>
    </rPh>
    <rPh sb="12" eb="14">
      <t>ケントウ</t>
    </rPh>
    <phoneticPr fontId="1"/>
  </si>
  <si>
    <t>復旧見込み</t>
    <rPh sb="0" eb="4">
      <t>フッキュウミコ</t>
    </rPh>
    <phoneticPr fontId="1"/>
  </si>
  <si>
    <t>自社設備の現地復旧技術の習得、設備の借用先や加工委託先企業との支援協定を締結</t>
    <rPh sb="0" eb="2">
      <t>ジシャ</t>
    </rPh>
    <rPh sb="2" eb="4">
      <t>セツビ</t>
    </rPh>
    <rPh sb="5" eb="9">
      <t>ゲンチフッキュウ</t>
    </rPh>
    <rPh sb="9" eb="11">
      <t>ギジュツ</t>
    </rPh>
    <rPh sb="12" eb="14">
      <t>シュウトク</t>
    </rPh>
    <rPh sb="15" eb="17">
      <t>セツビ</t>
    </rPh>
    <rPh sb="18" eb="20">
      <t>シャクヨウ</t>
    </rPh>
    <rPh sb="20" eb="21">
      <t>サキ</t>
    </rPh>
    <rPh sb="22" eb="27">
      <t>カコウイタクサキ</t>
    </rPh>
    <rPh sb="27" eb="29">
      <t>キギョウ</t>
    </rPh>
    <rPh sb="31" eb="35">
      <t>シエンキョウテイ</t>
    </rPh>
    <rPh sb="36" eb="38">
      <t>テイケツ</t>
    </rPh>
    <phoneticPr fontId="1"/>
  </si>
  <si>
    <t>訓練スケジュール</t>
    <rPh sb="0" eb="2">
      <t>クンレン</t>
    </rPh>
    <phoneticPr fontId="1"/>
  </si>
  <si>
    <t>スタッフも応援可能に、OB社員の応援可能に</t>
  </si>
  <si>
    <t>役職・氏名</t>
    <rPh sb="0" eb="2">
      <t>ヤクショク</t>
    </rPh>
    <rPh sb="3" eb="5">
      <t>シメイ</t>
    </rPh>
    <phoneticPr fontId="1"/>
  </si>
  <si>
    <t>部門</t>
    <rPh sb="0" eb="2">
      <t>ブモン</t>
    </rPh>
    <phoneticPr fontId="1"/>
  </si>
  <si>
    <t>被災状況１：事業遂行への影響</t>
    <rPh sb="0" eb="4">
      <t>ヒサイジョウキョウ</t>
    </rPh>
    <rPh sb="6" eb="8">
      <t>ジギョウ</t>
    </rPh>
    <rPh sb="8" eb="10">
      <t>スイコウ</t>
    </rPh>
    <rPh sb="12" eb="14">
      <t>エイキョウ</t>
    </rPh>
    <phoneticPr fontId="1"/>
  </si>
  <si>
    <t>参考様式６</t>
    <rPh sb="0" eb="4">
      <t>サンコウヨウシキ</t>
    </rPh>
    <phoneticPr fontId="1"/>
  </si>
  <si>
    <t>被災状況２：従業員の状況</t>
    <rPh sb="0" eb="4">
      <t>ヒサイジョウキョウ</t>
    </rPh>
    <rPh sb="6" eb="9">
      <t>ジュウギョウイン</t>
    </rPh>
    <rPh sb="10" eb="12">
      <t>ジョウキョウ</t>
    </rPh>
    <phoneticPr fontId="1"/>
  </si>
  <si>
    <t>１H</t>
  </si>
  <si>
    <t>被災状況３：事務所・工場・店舗の状況</t>
    <rPh sb="0" eb="4">
      <t>ヒサイジョウキョウ</t>
    </rPh>
    <rPh sb="6" eb="9">
      <t>ジムショ</t>
    </rPh>
    <rPh sb="10" eb="12">
      <t>コウジョウ</t>
    </rPh>
    <rPh sb="13" eb="15">
      <t>テンポ</t>
    </rPh>
    <rPh sb="16" eb="18">
      <t>ジョウキョウ</t>
    </rPh>
    <phoneticPr fontId="1"/>
  </si>
  <si>
    <t>致命的な影響を受けないよう、減災対策の強化
相互支援可能な企業との連携力の向上</t>
    <rPh sb="0" eb="3">
      <t>チメイテキ</t>
    </rPh>
    <rPh sb="4" eb="6">
      <t>エイキョウ</t>
    </rPh>
    <rPh sb="7" eb="8">
      <t>ウ</t>
    </rPh>
    <rPh sb="14" eb="16">
      <t>ゲンサイ</t>
    </rPh>
    <rPh sb="16" eb="18">
      <t>タイサク</t>
    </rPh>
    <rPh sb="19" eb="21">
      <t>キョウカ</t>
    </rPh>
    <rPh sb="22" eb="24">
      <t>ソウゴ</t>
    </rPh>
    <rPh sb="24" eb="26">
      <t>シエン</t>
    </rPh>
    <rPh sb="26" eb="28">
      <t>カノウ</t>
    </rPh>
    <rPh sb="29" eb="31">
      <t>キギョウ</t>
    </rPh>
    <rPh sb="33" eb="35">
      <t>レンケイ</t>
    </rPh>
    <rPh sb="35" eb="36">
      <t>リョク</t>
    </rPh>
    <rPh sb="37" eb="39">
      <t>コウジョウ</t>
    </rPh>
    <phoneticPr fontId="1"/>
  </si>
  <si>
    <t>保存期限</t>
  </si>
  <si>
    <t>　建物名</t>
    <rPh sb="1" eb="4">
      <t>タテモノメイ</t>
    </rPh>
    <phoneticPr fontId="1"/>
  </si>
  <si>
    <t>情報の種類</t>
  </si>
  <si>
    <t>　本社事務所</t>
    <rPh sb="1" eb="3">
      <t>ホンシャ</t>
    </rPh>
    <rPh sb="3" eb="6">
      <t>ジムショ</t>
    </rPh>
    <phoneticPr fontId="1"/>
  </si>
  <si>
    <t>　XX工場</t>
    <rPh sb="3" eb="5">
      <t>コウジョウ</t>
    </rPh>
    <phoneticPr fontId="1"/>
  </si>
  <si>
    <t>事務所関係</t>
    <rPh sb="0" eb="3">
      <t>ジムショ</t>
    </rPh>
    <rPh sb="3" eb="5">
      <t>カンケイ</t>
    </rPh>
    <phoneticPr fontId="1"/>
  </si>
  <si>
    <t>建物、近隣の被災状況から、被災レベル（軽微・甚大・壊滅）を大まかに把握</t>
    <rPh sb="0" eb="2">
      <t>タテモノ</t>
    </rPh>
    <rPh sb="3" eb="5">
      <t>キンリン</t>
    </rPh>
    <rPh sb="6" eb="10">
      <t>ヒサイジョウキョウ</t>
    </rPh>
    <rPh sb="13" eb="15">
      <t>ヒサイ</t>
    </rPh>
    <rPh sb="19" eb="21">
      <t>ケイビ</t>
    </rPh>
    <rPh sb="22" eb="24">
      <t>ジンダイ</t>
    </rPh>
    <rPh sb="25" eb="27">
      <t>カイメツ</t>
    </rPh>
    <rPh sb="29" eb="30">
      <t>オオ</t>
    </rPh>
    <rPh sb="33" eb="35">
      <t>ハアク</t>
    </rPh>
    <phoneticPr fontId="1"/>
  </si>
  <si>
    <t>　不明者はいるか</t>
    <rPh sb="1" eb="4">
      <t>フメイシャ</t>
    </rPh>
    <phoneticPr fontId="1"/>
  </si>
  <si>
    <t>資金をどう確保するか？</t>
    <rPh sb="0" eb="2">
      <t>シキン</t>
    </rPh>
    <rPh sb="5" eb="7">
      <t>カクホ</t>
    </rPh>
    <phoneticPr fontId="1"/>
  </si>
  <si>
    <t>概算費用</t>
    <rPh sb="0" eb="4">
      <t>ガイサンヒヨウ</t>
    </rPh>
    <phoneticPr fontId="1"/>
  </si>
  <si>
    <t>・休日・夜間に重なる場合の体制準備
・災害対応機器の点検（発電機・燃料、乾電池・懐中電灯、水、食料など）
・不足備品の補充</t>
    <rPh sb="1" eb="3">
      <t>キュウジツ</t>
    </rPh>
    <rPh sb="4" eb="6">
      <t>ヤカン</t>
    </rPh>
    <rPh sb="7" eb="8">
      <t>カサ</t>
    </rPh>
    <rPh sb="10" eb="12">
      <t>バアイ</t>
    </rPh>
    <rPh sb="13" eb="17">
      <t>タイセイジュンビ</t>
    </rPh>
    <rPh sb="19" eb="25">
      <t>サイガイタイオウキキ</t>
    </rPh>
    <rPh sb="26" eb="28">
      <t>テンケン</t>
    </rPh>
    <rPh sb="29" eb="32">
      <t>ハツデンキ</t>
    </rPh>
    <rPh sb="33" eb="35">
      <t>ネンリョウ</t>
    </rPh>
    <rPh sb="36" eb="39">
      <t>カンデンチ</t>
    </rPh>
    <rPh sb="40" eb="44">
      <t>カイチュウデントウ</t>
    </rPh>
    <rPh sb="45" eb="46">
      <t>ミズ</t>
    </rPh>
    <rPh sb="47" eb="49">
      <t>ショクリョウ</t>
    </rPh>
    <rPh sb="54" eb="56">
      <t>フソク</t>
    </rPh>
    <rPh sb="56" eb="58">
      <t>ビヒン</t>
    </rPh>
    <rPh sb="59" eb="61">
      <t>ホジュウ</t>
    </rPh>
    <phoneticPr fontId="1"/>
  </si>
  <si>
    <t>資金の種類には　自己資金（必要な時に現金化できる資金）</t>
    <rPh sb="0" eb="2">
      <t>シキン</t>
    </rPh>
    <rPh sb="3" eb="5">
      <t>シュルイ</t>
    </rPh>
    <rPh sb="8" eb="12">
      <t>ジコシキン</t>
    </rPh>
    <rPh sb="13" eb="15">
      <t>ヒツヨウ</t>
    </rPh>
    <rPh sb="16" eb="17">
      <t>トキ</t>
    </rPh>
    <rPh sb="18" eb="21">
      <t>ゲンキンカ</t>
    </rPh>
    <rPh sb="24" eb="26">
      <t>シキン</t>
    </rPh>
    <phoneticPr fontId="1"/>
  </si>
  <si>
    <t>避難所か
自宅避難</t>
    <rPh sb="0" eb="3">
      <t>ヒナンジョ</t>
    </rPh>
    <rPh sb="5" eb="9">
      <t>ジタクヒナン</t>
    </rPh>
    <phoneticPr fontId="1"/>
  </si>
  <si>
    <t>原材料の代替（代替材料、代替仕入先、代替生産、委託生産・・・・）</t>
    <rPh sb="0" eb="3">
      <t>ゲンザイリョウ</t>
    </rPh>
    <rPh sb="4" eb="6">
      <t>ダイガエ</t>
    </rPh>
    <rPh sb="7" eb="9">
      <t>ダイガエ</t>
    </rPh>
    <rPh sb="9" eb="11">
      <t>ザイリョウ</t>
    </rPh>
    <rPh sb="12" eb="14">
      <t>ダイガエ</t>
    </rPh>
    <rPh sb="14" eb="17">
      <t>シイレサキ</t>
    </rPh>
    <rPh sb="18" eb="20">
      <t>ダイガエ</t>
    </rPh>
    <rPh sb="20" eb="22">
      <t>セイサン</t>
    </rPh>
    <rPh sb="23" eb="27">
      <t>イタクセイサン</t>
    </rPh>
    <phoneticPr fontId="1"/>
  </si>
  <si>
    <t>修理費用</t>
    <rPh sb="0" eb="4">
      <t>シュウリヒヨウ</t>
    </rPh>
    <phoneticPr fontId="1"/>
  </si>
  <si>
    <r>
      <t>金融機関からの融資により必要資金を確保する　</t>
    </r>
    <r>
      <rPr>
        <b/>
        <sz val="11"/>
        <color theme="1"/>
        <rFont val="ＭＳ Ｐゴシック"/>
      </rPr>
      <t>いくらまで融資可能か</t>
    </r>
    <rPh sb="0" eb="4">
      <t>キンユウキカン</t>
    </rPh>
    <rPh sb="7" eb="9">
      <t>ユウシ</t>
    </rPh>
    <rPh sb="12" eb="16">
      <t>ヒツヨウシキン</t>
    </rPh>
    <rPh sb="17" eb="19">
      <t>カクホ</t>
    </rPh>
    <rPh sb="27" eb="29">
      <t>ユウシ</t>
    </rPh>
    <rPh sb="29" eb="31">
      <t>カノウ</t>
    </rPh>
    <phoneticPr fontId="1"/>
  </si>
  <si>
    <t>南海トラフ半割れに伴う臨時情報に伴う地震</t>
    <rPh sb="0" eb="2">
      <t>ナンカイ</t>
    </rPh>
    <rPh sb="5" eb="7">
      <t>ハンワ</t>
    </rPh>
    <rPh sb="9" eb="10">
      <t>トモナ</t>
    </rPh>
    <rPh sb="11" eb="15">
      <t>リンジジョウホウ</t>
    </rPh>
    <rPh sb="16" eb="17">
      <t>トモナ</t>
    </rPh>
    <rPh sb="18" eb="20">
      <t>ジシン</t>
    </rPh>
    <phoneticPr fontId="1"/>
  </si>
  <si>
    <t>静岡県モデルプラン第4版</t>
  </si>
  <si>
    <t>業務再開予定日</t>
    <rPh sb="0" eb="2">
      <t>ギョウム</t>
    </rPh>
    <rPh sb="2" eb="4">
      <t>サイカイ</t>
    </rPh>
    <rPh sb="4" eb="7">
      <t>ヨテイビ</t>
    </rPh>
    <phoneticPr fontId="1"/>
  </si>
  <si>
    <t>損害保険の適用で支払われる見込みの保険金</t>
    <rPh sb="0" eb="4">
      <t>ソンガイホケン</t>
    </rPh>
    <rPh sb="5" eb="7">
      <t>テキヨウ</t>
    </rPh>
    <rPh sb="8" eb="10">
      <t>シハラ</t>
    </rPh>
    <rPh sb="13" eb="15">
      <t>ミコ</t>
    </rPh>
    <rPh sb="17" eb="20">
      <t>ホケンキン</t>
    </rPh>
    <phoneticPr fontId="1"/>
  </si>
  <si>
    <t>国や自治体からの助成制度や特別融資</t>
    <rPh sb="0" eb="1">
      <t>クニ</t>
    </rPh>
    <rPh sb="2" eb="5">
      <t>ジチタイ</t>
    </rPh>
    <rPh sb="8" eb="12">
      <t>ジョセイセイド</t>
    </rPh>
    <rPh sb="13" eb="17">
      <t>トクベツユウシ</t>
    </rPh>
    <phoneticPr fontId="1"/>
  </si>
  <si>
    <t>急ぎ過ぎてケガなど起こさないこと</t>
    <rPh sb="0" eb="1">
      <t>イソ</t>
    </rPh>
    <rPh sb="2" eb="3">
      <t>ス</t>
    </rPh>
    <rPh sb="9" eb="10">
      <t>オ</t>
    </rPh>
    <phoneticPr fontId="1"/>
  </si>
  <si>
    <t>BCPを理解しBCP要員と連携し、自らの業務におけるBCPの活動を行う</t>
  </si>
  <si>
    <t>被災状況から該当リソースの復旧の容易性を評価する</t>
    <rPh sb="0" eb="4">
      <t>ヒサイジョウキョウ</t>
    </rPh>
    <rPh sb="6" eb="8">
      <t>ガイトウ</t>
    </rPh>
    <rPh sb="13" eb="15">
      <t>フッキュウ</t>
    </rPh>
    <rPh sb="16" eb="19">
      <t>ヨウイセイ</t>
    </rPh>
    <rPh sb="20" eb="22">
      <t>ヒョウカ</t>
    </rPh>
    <phoneticPr fontId="1"/>
  </si>
  <si>
    <t>復旧再開計画の実行管理</t>
    <rPh sb="0" eb="4">
      <t>フッキュウサイカイ</t>
    </rPh>
    <rPh sb="4" eb="6">
      <t>ケイカク</t>
    </rPh>
    <rPh sb="7" eb="11">
      <t>ジッコウカンリ</t>
    </rPh>
    <phoneticPr fontId="1"/>
  </si>
  <si>
    <t>　（復旧の進め方、必要費用、実施担当者、外部事業者、完了予定日）</t>
    <rPh sb="2" eb="4">
      <t>フッキュウ</t>
    </rPh>
    <rPh sb="5" eb="6">
      <t>スス</t>
    </rPh>
    <rPh sb="7" eb="8">
      <t>カタ</t>
    </rPh>
    <rPh sb="9" eb="13">
      <t>ヒツヨウヒヨウ</t>
    </rPh>
    <rPh sb="14" eb="16">
      <t>ジッシ</t>
    </rPh>
    <rPh sb="16" eb="19">
      <t>タントウシャ</t>
    </rPh>
    <rPh sb="20" eb="22">
      <t>ガイブ</t>
    </rPh>
    <rPh sb="22" eb="25">
      <t>ジギョウシャ</t>
    </rPh>
    <rPh sb="26" eb="31">
      <t>カンリョウヨテイビ</t>
    </rPh>
    <phoneticPr fontId="1"/>
  </si>
  <si>
    <t>・現金引出し</t>
    <rPh sb="1" eb="5">
      <t>ゲンキンヒキダ</t>
    </rPh>
    <phoneticPr fontId="1"/>
  </si>
  <si>
    <t>資源分類</t>
    <rPh sb="0" eb="4">
      <t>シゲンブンルイ</t>
    </rPh>
    <phoneticPr fontId="1"/>
  </si>
  <si>
    <t>復旧方針に従い、資源ごとの復旧責任者を決め復旧実施計画を作成する</t>
    <rPh sb="0" eb="4">
      <t>フッキュウホウシン</t>
    </rPh>
    <rPh sb="8" eb="10">
      <t>シゲン</t>
    </rPh>
    <rPh sb="13" eb="15">
      <t>フッキュウ</t>
    </rPh>
    <rPh sb="15" eb="18">
      <t>セキニンシャ</t>
    </rPh>
    <rPh sb="19" eb="20">
      <t>キ</t>
    </rPh>
    <rPh sb="21" eb="23">
      <t>フッキュウ</t>
    </rPh>
    <rPh sb="23" eb="25">
      <t>ジッシ</t>
    </rPh>
    <rPh sb="25" eb="27">
      <t>ケイカク</t>
    </rPh>
    <rPh sb="28" eb="30">
      <t>サクセイ</t>
    </rPh>
    <phoneticPr fontId="1"/>
  </si>
  <si>
    <t>過去の激甚災害時の支援事例を確認し</t>
    <rPh sb="0" eb="2">
      <t>カコ</t>
    </rPh>
    <rPh sb="3" eb="8">
      <t>ゲキジンサイガイジ</t>
    </rPh>
    <rPh sb="9" eb="11">
      <t>シエン</t>
    </rPh>
    <rPh sb="11" eb="13">
      <t>ジレイ</t>
    </rPh>
    <rPh sb="14" eb="16">
      <t>カクニン</t>
    </rPh>
    <phoneticPr fontId="1"/>
  </si>
  <si>
    <t>　　　　　株式会社</t>
    <rPh sb="5" eb="9">
      <t>カブシキガイシャ</t>
    </rPh>
    <phoneticPr fontId="1"/>
  </si>
  <si>
    <t>復旧対処における、日々の状況を朝、夕にミーティングを行い</t>
    <rPh sb="0" eb="2">
      <t>フッキュウ</t>
    </rPh>
    <rPh sb="2" eb="4">
      <t>タイショ</t>
    </rPh>
    <rPh sb="9" eb="11">
      <t>ヒビ</t>
    </rPh>
    <rPh sb="12" eb="14">
      <t>ジョウキョウ</t>
    </rPh>
    <rPh sb="15" eb="16">
      <t>アサ</t>
    </rPh>
    <rPh sb="17" eb="18">
      <t>ユウ</t>
    </rPh>
    <rPh sb="26" eb="27">
      <t>オコナ</t>
    </rPh>
    <phoneticPr fontId="1"/>
  </si>
  <si>
    <t>当面は仕掛在庫で対応、設備の借用先や加工委託先を選定・依頼</t>
    <rPh sb="0" eb="2">
      <t>トウメン</t>
    </rPh>
    <rPh sb="3" eb="5">
      <t>シカカリ</t>
    </rPh>
    <rPh sb="5" eb="7">
      <t>ザイコ</t>
    </rPh>
    <rPh sb="8" eb="10">
      <t>タイオウ</t>
    </rPh>
    <rPh sb="11" eb="13">
      <t>セツビ</t>
    </rPh>
    <rPh sb="14" eb="17">
      <t>シャクヨウサキ</t>
    </rPh>
    <rPh sb="18" eb="23">
      <t>カコウイタクサキ</t>
    </rPh>
    <rPh sb="24" eb="26">
      <t>センテイ</t>
    </rPh>
    <rPh sb="27" eb="29">
      <t>イライ</t>
    </rPh>
    <phoneticPr fontId="1"/>
  </si>
  <si>
    <t>課題・問題への早期対処を図る仕組みを作り運用する</t>
    <rPh sb="0" eb="2">
      <t>カダイ</t>
    </rPh>
    <rPh sb="3" eb="5">
      <t>モンダイ</t>
    </rPh>
    <rPh sb="7" eb="9">
      <t>ソウキ</t>
    </rPh>
    <rPh sb="9" eb="11">
      <t>タイショ</t>
    </rPh>
    <rPh sb="12" eb="13">
      <t>ハカ</t>
    </rPh>
    <rPh sb="14" eb="16">
      <t>シク</t>
    </rPh>
    <rPh sb="18" eb="19">
      <t>ツク</t>
    </rPh>
    <rPh sb="20" eb="22">
      <t>ウンヨウ</t>
    </rPh>
    <phoneticPr fontId="1"/>
  </si>
  <si>
    <t>備考</t>
  </si>
  <si>
    <t>業務再開に向けて、被災リソースの復旧方針を決定する、併せて推進体制を構築する</t>
    <rPh sb="0" eb="4">
      <t>ギョウムサイカイ</t>
    </rPh>
    <rPh sb="5" eb="6">
      <t>ム</t>
    </rPh>
    <rPh sb="9" eb="11">
      <t>ヒサイ</t>
    </rPh>
    <rPh sb="16" eb="18">
      <t>フッキュウ</t>
    </rPh>
    <rPh sb="18" eb="20">
      <t>ホウシン</t>
    </rPh>
    <rPh sb="21" eb="23">
      <t>ケッテイ</t>
    </rPh>
    <rPh sb="26" eb="27">
      <t>アワ</t>
    </rPh>
    <rPh sb="29" eb="33">
      <t>スイシンタイセイ</t>
    </rPh>
    <rPh sb="34" eb="36">
      <t>コウチク</t>
    </rPh>
    <phoneticPr fontId="1"/>
  </si>
  <si>
    <t>自社加工設備の損壊や外注先の被害大</t>
    <rPh sb="2" eb="4">
      <t>カコウ</t>
    </rPh>
    <rPh sb="10" eb="13">
      <t>ガイチュウサキ</t>
    </rPh>
    <rPh sb="14" eb="17">
      <t>ヒガイダイ</t>
    </rPh>
    <phoneticPr fontId="1"/>
  </si>
  <si>
    <t>生産管理システム</t>
    <rPh sb="0" eb="4">
      <t>セイサンカンリ</t>
    </rPh>
    <phoneticPr fontId="1"/>
  </si>
  <si>
    <t>重要人物（意思決定者）</t>
    <rPh sb="0" eb="2">
      <t>ジュウヨウ</t>
    </rPh>
    <rPh sb="2" eb="4">
      <t>ジンブツ</t>
    </rPh>
    <rPh sb="5" eb="10">
      <t>イシケッテイシャ</t>
    </rPh>
    <phoneticPr fontId="1"/>
  </si>
  <si>
    <t>机上</t>
  </si>
  <si>
    <t>重要職種要員</t>
    <rPh sb="0" eb="4">
      <t>ジュウヨウショクシュ</t>
    </rPh>
    <rPh sb="4" eb="6">
      <t>ヨウイン</t>
    </rPh>
    <phoneticPr fontId="1"/>
  </si>
  <si>
    <t>主要設備</t>
    <rPh sb="0" eb="4">
      <t>シュヨウセツビ</t>
    </rPh>
    <phoneticPr fontId="1"/>
  </si>
  <si>
    <t>業務再開場所の整備・確保</t>
    <rPh sb="0" eb="6">
      <t>ギョウムサイカイバショ</t>
    </rPh>
    <rPh sb="7" eb="9">
      <t>セイビ</t>
    </rPh>
    <rPh sb="10" eb="12">
      <t>カクホ</t>
    </rPh>
    <phoneticPr fontId="1"/>
  </si>
  <si>
    <t>休業者多発</t>
    <rPh sb="0" eb="3">
      <t>キュウギョウシャ</t>
    </rPh>
    <rPh sb="3" eb="5">
      <t>タハツ</t>
    </rPh>
    <phoneticPr fontId="1"/>
  </si>
  <si>
    <t>電話</t>
    <rPh sb="0" eb="2">
      <t>デンワ</t>
    </rPh>
    <phoneticPr fontId="1"/>
  </si>
  <si>
    <t>事務所</t>
    <rPh sb="0" eb="3">
      <t>ジムショ</t>
    </rPh>
    <phoneticPr fontId="1"/>
  </si>
  <si>
    <t xml:space="preserve">会社へ状況報告
会社の応援有無
</t>
    <rPh sb="0" eb="2">
      <t>カイシャ</t>
    </rPh>
    <rPh sb="3" eb="5">
      <t>ジョウキョウ</t>
    </rPh>
    <rPh sb="5" eb="7">
      <t>ホウコク</t>
    </rPh>
    <rPh sb="8" eb="10">
      <t>カイシャ</t>
    </rPh>
    <rPh sb="11" eb="13">
      <t>オウエン</t>
    </rPh>
    <rPh sb="13" eb="15">
      <t>ウム</t>
    </rPh>
    <phoneticPr fontId="1"/>
  </si>
  <si>
    <t>　加えて、緊急地震速報への対応手順についても、場所別、業務内容別などで検討しておきましょう</t>
    <rPh sb="1" eb="2">
      <t>クワ</t>
    </rPh>
    <rPh sb="5" eb="7">
      <t>キンキュウ</t>
    </rPh>
    <rPh sb="7" eb="11">
      <t>ジシンソクホウ</t>
    </rPh>
    <rPh sb="13" eb="15">
      <t>タイオウ</t>
    </rPh>
    <rPh sb="15" eb="17">
      <t>テジュン</t>
    </rPh>
    <rPh sb="23" eb="26">
      <t>バショベツ</t>
    </rPh>
    <rPh sb="27" eb="29">
      <t>ギョウム</t>
    </rPh>
    <rPh sb="29" eb="31">
      <t>ナイヨウ</t>
    </rPh>
    <rPh sb="31" eb="32">
      <t>ベツ</t>
    </rPh>
    <rPh sb="35" eb="37">
      <t>ケントウ</t>
    </rPh>
    <phoneticPr fontId="1"/>
  </si>
  <si>
    <t>BCPの重要性、必要性を理解し、会社としての事業責任を有する</t>
  </si>
  <si>
    <t>企業名</t>
    <rPh sb="0" eb="3">
      <t>キギョウメイ</t>
    </rPh>
    <phoneticPr fontId="1"/>
  </si>
  <si>
    <t>　　BCMの推進体制</t>
    <rPh sb="6" eb="8">
      <t>スイシン</t>
    </rPh>
    <rPh sb="8" eb="10">
      <t>タイセイ</t>
    </rPh>
    <phoneticPr fontId="1"/>
  </si>
  <si>
    <t>事業場（工場・店舗・・・）</t>
    <rPh sb="0" eb="3">
      <t>ジギョウジョウ</t>
    </rPh>
    <rPh sb="4" eb="6">
      <t>コウジョウ</t>
    </rPh>
    <rPh sb="7" eb="9">
      <t>テンポ</t>
    </rPh>
    <phoneticPr fontId="1"/>
  </si>
  <si>
    <t>（自社で育成、支援企業から応援、協力企業に委託・・・・）</t>
    <rPh sb="1" eb="3">
      <t>ジシャ</t>
    </rPh>
    <rPh sb="4" eb="6">
      <t>イクセイ</t>
    </rPh>
    <rPh sb="7" eb="11">
      <t>シエンキギョウ</t>
    </rPh>
    <rPh sb="13" eb="15">
      <t>オウエン</t>
    </rPh>
    <rPh sb="16" eb="20">
      <t>キョウリョクキギョウ</t>
    </rPh>
    <rPh sb="21" eb="23">
      <t>イタク</t>
    </rPh>
    <phoneticPr fontId="1"/>
  </si>
  <si>
    <t>作業項目</t>
    <rPh sb="0" eb="4">
      <t>サギョウコウモク</t>
    </rPh>
    <phoneticPr fontId="1"/>
  </si>
  <si>
    <t>統括責任者（部長）　１名</t>
  </si>
  <si>
    <t>主要原材料</t>
    <rPh sb="0" eb="2">
      <t>シュヨウ</t>
    </rPh>
    <rPh sb="2" eb="5">
      <t>ゲンザイリョウ</t>
    </rPh>
    <phoneticPr fontId="1"/>
  </si>
  <si>
    <t xml:space="preserve"> 災害発生　　　   終息判断</t>
    <rPh sb="1" eb="5">
      <t>サイガイハッセイ</t>
    </rPh>
    <rPh sb="11" eb="13">
      <t>シュウソク</t>
    </rPh>
    <rPh sb="13" eb="15">
      <t>ハンダン</t>
    </rPh>
    <phoneticPr fontId="1"/>
  </si>
  <si>
    <t>http://www.pref.shizuoka.jp/bousai/toukei/passport2/index.html</t>
  </si>
  <si>
    <t>携帯
電話番号</t>
    <rPh sb="0" eb="2">
      <t>ケイタイ</t>
    </rPh>
    <rPh sb="3" eb="7">
      <t>デンワバンゴウ</t>
    </rPh>
    <phoneticPr fontId="1"/>
  </si>
  <si>
    <t>現地復旧の実施策と事前対策</t>
    <rPh sb="0" eb="4">
      <t>ゲンチフッキュウ</t>
    </rPh>
    <rPh sb="5" eb="8">
      <t>ジッシサク</t>
    </rPh>
    <rPh sb="9" eb="13">
      <t>ジゼンタイサク</t>
    </rPh>
    <phoneticPr fontId="1"/>
  </si>
  <si>
    <t>資源名</t>
    <rPh sb="0" eb="3">
      <t>シゲンメイ</t>
    </rPh>
    <phoneticPr fontId="1"/>
  </si>
  <si>
    <t>治工具</t>
    <rPh sb="0" eb="3">
      <t>ジコウグ</t>
    </rPh>
    <phoneticPr fontId="1"/>
  </si>
  <si>
    <t>副資材</t>
    <rPh sb="0" eb="3">
      <t>フクシザイ</t>
    </rPh>
    <phoneticPr fontId="1"/>
  </si>
  <si>
    <t>有効期限</t>
    <rPh sb="0" eb="4">
      <t>ユウコウキゲン</t>
    </rPh>
    <phoneticPr fontId="1"/>
  </si>
  <si>
    <t>備品</t>
    <rPh sb="0" eb="2">
      <t>ビヒン</t>
    </rPh>
    <phoneticPr fontId="1"/>
  </si>
  <si>
    <t>機械設備の代替（リース、中古機貸与、支援企業から設備借用、協力企業で委託生産・・・・）</t>
    <rPh sb="0" eb="4">
      <t>キカイセツビ</t>
    </rPh>
    <rPh sb="5" eb="7">
      <t>ダイガエ</t>
    </rPh>
    <rPh sb="12" eb="14">
      <t>チュウコ</t>
    </rPh>
    <rPh sb="14" eb="15">
      <t>キ</t>
    </rPh>
    <rPh sb="15" eb="17">
      <t>タイヨ</t>
    </rPh>
    <rPh sb="18" eb="22">
      <t>シエンキギョウ</t>
    </rPh>
    <rPh sb="24" eb="26">
      <t>セツビ</t>
    </rPh>
    <rPh sb="26" eb="28">
      <t>シャクヨウ</t>
    </rPh>
    <rPh sb="29" eb="33">
      <t>キョウリョクキギョウ</t>
    </rPh>
    <rPh sb="34" eb="38">
      <t>イタクセイサン</t>
    </rPh>
    <phoneticPr fontId="1"/>
  </si>
  <si>
    <t>ヒト、モノ（建物・施設、原材料・資材、設備、治工具、備品・・）、情報、</t>
    <rPh sb="6" eb="8">
      <t>タテモノ</t>
    </rPh>
    <rPh sb="9" eb="11">
      <t>シセツ</t>
    </rPh>
    <rPh sb="12" eb="13">
      <t>ゲン</t>
    </rPh>
    <rPh sb="13" eb="15">
      <t>ザイリョウ</t>
    </rPh>
    <rPh sb="16" eb="18">
      <t>シザイ</t>
    </rPh>
    <rPh sb="19" eb="21">
      <t>セツビ</t>
    </rPh>
    <rPh sb="22" eb="25">
      <t>ジコウグ</t>
    </rPh>
    <rPh sb="26" eb="28">
      <t>ビヒン</t>
    </rPh>
    <rPh sb="32" eb="34">
      <t>ジョウホウ</t>
    </rPh>
    <phoneticPr fontId="1"/>
  </si>
  <si>
    <t>事前に確認・準備しておくこと</t>
    <rPh sb="0" eb="2">
      <t>ジゼン</t>
    </rPh>
    <rPh sb="3" eb="5">
      <t>カクニン</t>
    </rPh>
    <rPh sb="6" eb="8">
      <t>ジュンビ</t>
    </rPh>
    <phoneticPr fontId="1"/>
  </si>
  <si>
    <t>対策実施による期待効果を具体的に</t>
    <rPh sb="0" eb="4">
      <t>タイサクジッシ</t>
    </rPh>
    <rPh sb="7" eb="11">
      <t>キタイコウカ</t>
    </rPh>
    <rPh sb="12" eb="15">
      <t>グタイテキ</t>
    </rPh>
    <phoneticPr fontId="1"/>
  </si>
  <si>
    <t>強風や大雨に備え、準備できることや防災対応機器の点検や確認、備蓄品等の過不足を確認し、補充しておく</t>
    <rPh sb="0" eb="2">
      <t>キョウフウ</t>
    </rPh>
    <rPh sb="3" eb="5">
      <t>オオアメ</t>
    </rPh>
    <rPh sb="6" eb="7">
      <t>ソナ</t>
    </rPh>
    <rPh sb="9" eb="11">
      <t>ジュンビ</t>
    </rPh>
    <rPh sb="17" eb="23">
      <t>ボウサイタイオウキキ</t>
    </rPh>
    <rPh sb="24" eb="26">
      <t>テンケン</t>
    </rPh>
    <rPh sb="27" eb="29">
      <t>カクニン</t>
    </rPh>
    <rPh sb="30" eb="34">
      <t>ビチクヒントウ</t>
    </rPh>
    <rPh sb="35" eb="38">
      <t>カブソク</t>
    </rPh>
    <rPh sb="39" eb="41">
      <t>カクニン</t>
    </rPh>
    <rPh sb="43" eb="45">
      <t>ホジュウ</t>
    </rPh>
    <phoneticPr fontId="1"/>
  </si>
  <si>
    <t>どのような脅威を対象に行うのか（特定またはオールハザード）</t>
    <rPh sb="5" eb="7">
      <t>キョウイ</t>
    </rPh>
    <rPh sb="8" eb="10">
      <t>タイショウ</t>
    </rPh>
    <rPh sb="11" eb="12">
      <t>オコナ</t>
    </rPh>
    <rPh sb="16" eb="18">
      <t>トクテイ</t>
    </rPh>
    <phoneticPr fontId="1"/>
  </si>
  <si>
    <t>修理資材有無</t>
    <rPh sb="0" eb="4">
      <t>シュウリシザイ</t>
    </rPh>
    <rPh sb="4" eb="6">
      <t>ウム</t>
    </rPh>
    <phoneticPr fontId="1"/>
  </si>
  <si>
    <t>誰が担当してこの対策を実施するのか</t>
    <rPh sb="0" eb="1">
      <t>ダレ</t>
    </rPh>
    <rPh sb="2" eb="4">
      <t>タントウ</t>
    </rPh>
    <rPh sb="8" eb="10">
      <t>タイサク</t>
    </rPh>
    <rPh sb="11" eb="13">
      <t>ジッシ</t>
    </rPh>
    <phoneticPr fontId="1"/>
  </si>
  <si>
    <t>【被害状況の把握：中間報告】</t>
    <rPh sb="9" eb="13">
      <t>チュウカンホウコク</t>
    </rPh>
    <phoneticPr fontId="1"/>
  </si>
  <si>
    <t>　従業員の安否確認詳細（無事、出社可能、けが人、家族の状況など）</t>
    <rPh sb="1" eb="4">
      <t>ジュウギョウイン</t>
    </rPh>
    <rPh sb="5" eb="9">
      <t>アンピカクニン</t>
    </rPh>
    <rPh sb="9" eb="11">
      <t>ショウサイ</t>
    </rPh>
    <rPh sb="12" eb="14">
      <t>ブジ</t>
    </rPh>
    <rPh sb="15" eb="19">
      <t>シュッシャカノウ</t>
    </rPh>
    <rPh sb="22" eb="23">
      <t>ニン</t>
    </rPh>
    <rPh sb="24" eb="26">
      <t>カゾク</t>
    </rPh>
    <rPh sb="27" eb="29">
      <t>ジョウキョウ</t>
    </rPh>
    <phoneticPr fontId="1"/>
  </si>
  <si>
    <t>出典：NPO法人事業継続推進機構「中小企業BCPステップアップ・ガイド」(4.0版)1-12ページ。</t>
  </si>
  <si>
    <t>　建物被害（建物名、被害状況、立入可否、重要業務への影響度）</t>
    <rPh sb="1" eb="5">
      <t>タテモノヒガイ</t>
    </rPh>
    <rPh sb="6" eb="9">
      <t>タテモノメイ</t>
    </rPh>
    <rPh sb="10" eb="14">
      <t>ヒガイジョウキョウ</t>
    </rPh>
    <rPh sb="15" eb="19">
      <t>タチイリカヒ</t>
    </rPh>
    <rPh sb="20" eb="24">
      <t>ジュウヨウギョウム</t>
    </rPh>
    <rPh sb="26" eb="29">
      <t>エイキョウド</t>
    </rPh>
    <phoneticPr fontId="1"/>
  </si>
  <si>
    <t>　物流・交通状況（通常経路の可否、代替ルートの可否、特記事項）</t>
    <rPh sb="1" eb="3">
      <t>ブツリュウ</t>
    </rPh>
    <rPh sb="4" eb="8">
      <t>コウツウジョウキョウ</t>
    </rPh>
    <rPh sb="9" eb="13">
      <t>ツウジョウケイロ</t>
    </rPh>
    <rPh sb="14" eb="16">
      <t>カヒ</t>
    </rPh>
    <rPh sb="17" eb="19">
      <t>ダイガエ</t>
    </rPh>
    <rPh sb="23" eb="25">
      <t>カヒ</t>
    </rPh>
    <rPh sb="26" eb="30">
      <t>トッキジコウ</t>
    </rPh>
    <phoneticPr fontId="1"/>
  </si>
  <si>
    <t>＜巨大地震警戒時の対応＞</t>
    <rPh sb="1" eb="5">
      <t>キョダイジシン</t>
    </rPh>
    <rPh sb="5" eb="7">
      <t>ケイカイ</t>
    </rPh>
    <rPh sb="7" eb="8">
      <t>ジ</t>
    </rPh>
    <phoneticPr fontId="1"/>
  </si>
  <si>
    <t>【被害状況の把握：詳細報告】</t>
    <rPh sb="1" eb="5">
      <t>ヒガイジョウキョウ</t>
    </rPh>
    <rPh sb="6" eb="8">
      <t>ハアク</t>
    </rPh>
    <rPh sb="9" eb="11">
      <t>ショウサイ</t>
    </rPh>
    <rPh sb="11" eb="13">
      <t>ホウコク</t>
    </rPh>
    <phoneticPr fontId="1"/>
  </si>
  <si>
    <t>３ｍ浸水の可能性</t>
    <rPh sb="2" eb="4">
      <t>シンスイ</t>
    </rPh>
    <rPh sb="5" eb="8">
      <t>カノウセイ</t>
    </rPh>
    <phoneticPr fontId="1"/>
  </si>
  <si>
    <t>　　チェックリスト形式で確認を行う</t>
    <rPh sb="9" eb="11">
      <t>ケイシキ</t>
    </rPh>
    <rPh sb="12" eb="14">
      <t>カクニン</t>
    </rPh>
    <rPh sb="15" eb="16">
      <t>オコナ</t>
    </rPh>
    <phoneticPr fontId="1"/>
  </si>
  <si>
    <t>　　優先業務に関わるリソースについて詳細な被災状況の把握を行う</t>
    <rPh sb="2" eb="4">
      <t>ユウセン</t>
    </rPh>
    <rPh sb="4" eb="6">
      <t>ギョウム</t>
    </rPh>
    <rPh sb="7" eb="8">
      <t>カカ</t>
    </rPh>
    <rPh sb="18" eb="20">
      <t>ショウサイ</t>
    </rPh>
    <rPh sb="21" eb="25">
      <t>ヒサイジョウキョウ</t>
    </rPh>
    <rPh sb="26" eb="28">
      <t>ハアク</t>
    </rPh>
    <rPh sb="29" eb="30">
      <t>オコナ</t>
    </rPh>
    <phoneticPr fontId="1"/>
  </si>
  <si>
    <t>評価結果</t>
    <rPh sb="0" eb="2">
      <t>ヒョウカ</t>
    </rPh>
    <rPh sb="2" eb="4">
      <t>ケッカ</t>
    </rPh>
    <phoneticPr fontId="1"/>
  </si>
  <si>
    <t>●事前対策</t>
    <rPh sb="1" eb="5">
      <t>ジゼンタイサク</t>
    </rPh>
    <phoneticPr fontId="1"/>
  </si>
  <si>
    <t>影響や再開見込</t>
    <rPh sb="0" eb="2">
      <t>エイキョウ</t>
    </rPh>
    <rPh sb="3" eb="5">
      <t>サイカイ</t>
    </rPh>
    <rPh sb="5" eb="7">
      <t>ミコ</t>
    </rPh>
    <phoneticPr fontId="1"/>
  </si>
  <si>
    <t>自社のみならず関連する被災状況などを確認し、どのように事業を再開するか</t>
    <rPh sb="0" eb="2">
      <t>ジシャ</t>
    </rPh>
    <rPh sb="7" eb="9">
      <t>カンレン</t>
    </rPh>
    <rPh sb="11" eb="15">
      <t>ヒサイジョウキョウ</t>
    </rPh>
    <rPh sb="18" eb="20">
      <t>カクニン</t>
    </rPh>
    <rPh sb="27" eb="29">
      <t>ジギョウ</t>
    </rPh>
    <rPh sb="30" eb="32">
      <t>サイカイ</t>
    </rPh>
    <phoneticPr fontId="1"/>
  </si>
  <si>
    <t>初動対応手順と事前対策</t>
    <rPh sb="0" eb="4">
      <t>ショドウタイオウ</t>
    </rPh>
    <rPh sb="4" eb="6">
      <t>テジュン</t>
    </rPh>
    <rPh sb="7" eb="11">
      <t>ジゼンタイサク</t>
    </rPh>
    <phoneticPr fontId="1"/>
  </si>
  <si>
    <t>出社可能時期</t>
    <rPh sb="0" eb="2">
      <t>シュッシャ</t>
    </rPh>
    <rPh sb="2" eb="6">
      <t>カノウジキ</t>
    </rPh>
    <phoneticPr fontId="1"/>
  </si>
  <si>
    <t>第３版様式9</t>
  </si>
  <si>
    <t>次回への改善点</t>
    <rPh sb="0" eb="2">
      <t>ジカイ</t>
    </rPh>
    <rPh sb="4" eb="7">
      <t>カイゼンテン</t>
    </rPh>
    <phoneticPr fontId="1"/>
  </si>
  <si>
    <t>主催者
（説明者）</t>
  </si>
  <si>
    <t>フォーク、トラックとその燃料の確保</t>
    <rPh sb="12" eb="14">
      <t>ネンリョウ</t>
    </rPh>
    <phoneticPr fontId="1"/>
  </si>
  <si>
    <t>訓練項目（訓練テーマ）</t>
    <rPh sb="0" eb="2">
      <t>クンレン</t>
    </rPh>
    <rPh sb="2" eb="4">
      <t>コウモク</t>
    </rPh>
    <rPh sb="5" eb="7">
      <t>クンレン</t>
    </rPh>
    <phoneticPr fontId="1"/>
  </si>
  <si>
    <t>訓練実施内容</t>
    <rPh sb="0" eb="4">
      <t>クンレンジッシ</t>
    </rPh>
    <rPh sb="4" eb="6">
      <t>ナイヨウ</t>
    </rPh>
    <phoneticPr fontId="1"/>
  </si>
  <si>
    <t>【参考様式９】緊急連絡先リスト</t>
    <rPh sb="1" eb="3">
      <t>サンコウ</t>
    </rPh>
    <phoneticPr fontId="1"/>
  </si>
  <si>
    <t>マルチハザードへの対応</t>
    <rPh sb="9" eb="11">
      <t>タイオウ</t>
    </rPh>
    <phoneticPr fontId="1"/>
  </si>
  <si>
    <t>予算</t>
    <rPh sb="0" eb="2">
      <t>ヨサン</t>
    </rPh>
    <phoneticPr fontId="1"/>
  </si>
  <si>
    <t>対象者</t>
  </si>
  <si>
    <t>対応能力１００％減</t>
  </si>
  <si>
    <t>必要な教育</t>
  </si>
  <si>
    <t>経営者</t>
  </si>
  <si>
    <t>現状レベル</t>
    <rPh sb="0" eb="2">
      <t>ゲンジョウ</t>
    </rPh>
    <phoneticPr fontId="1"/>
  </si>
  <si>
    <t>BCP要員</t>
  </si>
  <si>
    <t>一般社員</t>
  </si>
  <si>
    <t>№</t>
  </si>
  <si>
    <t>参考様式１</t>
    <rPh sb="0" eb="4">
      <t>サンコウヨウシキ</t>
    </rPh>
    <phoneticPr fontId="1"/>
  </si>
  <si>
    <t>様式１１　　代替・企業連携手段の実施と事前対策</t>
    <rPh sb="0" eb="2">
      <t>ヨウシキ</t>
    </rPh>
    <rPh sb="6" eb="8">
      <t>ダイガエ</t>
    </rPh>
    <rPh sb="9" eb="11">
      <t>キギョウ</t>
    </rPh>
    <rPh sb="11" eb="13">
      <t>レンケイ</t>
    </rPh>
    <rPh sb="13" eb="15">
      <t>シュダン</t>
    </rPh>
    <rPh sb="16" eb="18">
      <t>ジッシ</t>
    </rPh>
    <rPh sb="19" eb="21">
      <t>ジゼン</t>
    </rPh>
    <rPh sb="21" eb="23">
      <t>タイサク</t>
    </rPh>
    <phoneticPr fontId="1"/>
  </si>
  <si>
    <t>同一ネットワーク上のシステムがすべて利用不可に</t>
    <rPh sb="0" eb="2">
      <t>ドウイツ</t>
    </rPh>
    <rPh sb="8" eb="9">
      <t>ジョウ</t>
    </rPh>
    <rPh sb="18" eb="22">
      <t>リヨウフカ</t>
    </rPh>
    <phoneticPr fontId="1"/>
  </si>
  <si>
    <t>早期避難・津波
てんでんこ
応急処置法</t>
    <rPh sb="5" eb="7">
      <t>ツナミ</t>
    </rPh>
    <rPh sb="14" eb="16">
      <t>オウキュウ</t>
    </rPh>
    <rPh sb="16" eb="19">
      <t>ショチホウ</t>
    </rPh>
    <phoneticPr fontId="1"/>
  </si>
  <si>
    <t>③インフラ（電気・ガス・水道・電話・携帯）被害</t>
    <rPh sb="6" eb="8">
      <t>デンキ</t>
    </rPh>
    <rPh sb="12" eb="14">
      <t>スイドウ</t>
    </rPh>
    <rPh sb="15" eb="17">
      <t>デンワ</t>
    </rPh>
    <rPh sb="18" eb="20">
      <t>ケイタイ</t>
    </rPh>
    <rPh sb="21" eb="23">
      <t>ヒガイ</t>
    </rPh>
    <phoneticPr fontId="1"/>
  </si>
  <si>
    <t>教育コンテンツ名</t>
  </si>
  <si>
    <t>売上停止
許容期間</t>
  </si>
  <si>
    <t>被害報告（速報）担当</t>
    <rPh sb="0" eb="4">
      <t>ヒガイホウコク</t>
    </rPh>
    <rPh sb="5" eb="7">
      <t>ソクホウ</t>
    </rPh>
    <rPh sb="8" eb="10">
      <t>タントウ</t>
    </rPh>
    <phoneticPr fontId="1"/>
  </si>
  <si>
    <t>＜調査中・巨大地震注意が出た際の対応＞</t>
    <rPh sb="1" eb="3">
      <t>チョウサ</t>
    </rPh>
    <rPh sb="3" eb="4">
      <t>チュウ</t>
    </rPh>
    <rPh sb="5" eb="9">
      <t>キョダイジシン</t>
    </rPh>
    <phoneticPr fontId="1"/>
  </si>
  <si>
    <t>テキスト名</t>
  </si>
  <si>
    <t>評価方法</t>
  </si>
  <si>
    <t>（例）本社屋（○○会議室）</t>
  </si>
  <si>
    <t>リソースの減災度合いを向上させ、設備などの被害を減少させる
現地復旧技術力の向上
代替メンバーの早期育成
必要となる保守・点検等のサービス会社の確保</t>
    <rPh sb="5" eb="7">
      <t>ゲンサイ</t>
    </rPh>
    <rPh sb="7" eb="9">
      <t>ドア</t>
    </rPh>
    <rPh sb="11" eb="13">
      <t>コウジョウ</t>
    </rPh>
    <rPh sb="16" eb="18">
      <t>セツビ</t>
    </rPh>
    <rPh sb="21" eb="23">
      <t>ヒガイ</t>
    </rPh>
    <rPh sb="24" eb="26">
      <t>ゲンショウ</t>
    </rPh>
    <rPh sb="30" eb="34">
      <t>ゲンチフッキュウ</t>
    </rPh>
    <rPh sb="34" eb="36">
      <t>ギジュツ</t>
    </rPh>
    <rPh sb="36" eb="37">
      <t>リョク</t>
    </rPh>
    <rPh sb="38" eb="40">
      <t>コウジョウ</t>
    </rPh>
    <rPh sb="41" eb="43">
      <t>ダイガエ</t>
    </rPh>
    <rPh sb="48" eb="52">
      <t>ソウキイクセイ</t>
    </rPh>
    <rPh sb="53" eb="55">
      <t>ヒツヨウ</t>
    </rPh>
    <rPh sb="58" eb="60">
      <t>ホシュ</t>
    </rPh>
    <rPh sb="61" eb="63">
      <t>テンケン</t>
    </rPh>
    <rPh sb="63" eb="64">
      <t>トウ</t>
    </rPh>
    <rPh sb="69" eb="71">
      <t>ガイシャ</t>
    </rPh>
    <rPh sb="72" eb="74">
      <t>カクホ</t>
    </rPh>
    <phoneticPr fontId="1"/>
  </si>
  <si>
    <t>教育時間</t>
  </si>
  <si>
    <t>訓練に合わせた事前研修</t>
    <rPh sb="0" eb="2">
      <t>クンレン</t>
    </rPh>
    <rPh sb="3" eb="4">
      <t>ア</t>
    </rPh>
    <rPh sb="7" eb="9">
      <t>ジゼン</t>
    </rPh>
    <rPh sb="9" eb="11">
      <t>ケンシュウ</t>
    </rPh>
    <phoneticPr fontId="1"/>
  </si>
  <si>
    <r>
      <t>　　</t>
    </r>
    <r>
      <rPr>
        <b/>
        <sz val="11"/>
        <color auto="1"/>
        <rFont val="ＭＳ Ｐゴシック"/>
      </rPr>
      <t>予め、従業員･家族に生活再建のイメージや知識があれば、大災害による生活再建が少しでも早くなり経営者と従業員の絆が深まります。</t>
    </r>
    <rPh sb="2" eb="3">
      <t>アラカジ</t>
    </rPh>
    <rPh sb="5" eb="8">
      <t>ジュウギョウイン</t>
    </rPh>
    <rPh sb="9" eb="11">
      <t>カゾク</t>
    </rPh>
    <rPh sb="29" eb="32">
      <t>ダイサイガイ</t>
    </rPh>
    <rPh sb="35" eb="39">
      <t>セイカツサイケン</t>
    </rPh>
    <rPh sb="40" eb="41">
      <t>スコ</t>
    </rPh>
    <rPh sb="44" eb="45">
      <t>ハヤ</t>
    </rPh>
    <rPh sb="48" eb="51">
      <t>ケイエイシャ</t>
    </rPh>
    <rPh sb="52" eb="55">
      <t>ジュウギョウイン</t>
    </rPh>
    <rPh sb="56" eb="57">
      <t>キズナ</t>
    </rPh>
    <rPh sb="58" eb="59">
      <t>フカ</t>
    </rPh>
    <phoneticPr fontId="1"/>
  </si>
  <si>
    <t>●</t>
  </si>
  <si>
    <t>突発の場合、出社困難者あり</t>
    <rPh sb="0" eb="2">
      <t>トッパツ</t>
    </rPh>
    <rPh sb="3" eb="5">
      <t>バアイ</t>
    </rPh>
    <rPh sb="6" eb="8">
      <t>シュッシャ</t>
    </rPh>
    <rPh sb="8" eb="10">
      <t>コンナン</t>
    </rPh>
    <rPh sb="10" eb="11">
      <t>シャ</t>
    </rPh>
    <phoneticPr fontId="1"/>
  </si>
  <si>
    <t>第３版様式１０ｃ</t>
  </si>
  <si>
    <t>賠償責任保険</t>
    <rPh sb="0" eb="6">
      <t>バイショウセキニンホケン</t>
    </rPh>
    <phoneticPr fontId="1"/>
  </si>
  <si>
    <t>【対象者】</t>
  </si>
  <si>
    <t>スキル№</t>
  </si>
  <si>
    <t>　　定期入れや財布、スマホなどに納めておき、いつでも参照可能にしておきましょう。</t>
    <rPh sb="26" eb="28">
      <t>サンショウ</t>
    </rPh>
    <rPh sb="28" eb="30">
      <t>カノウ</t>
    </rPh>
    <phoneticPr fontId="1"/>
  </si>
  <si>
    <t>困難度　大</t>
    <rPh sb="0" eb="3">
      <t>コンナンド</t>
    </rPh>
    <rPh sb="4" eb="5">
      <t>ダイ</t>
    </rPh>
    <phoneticPr fontId="1"/>
  </si>
  <si>
    <t>役割</t>
  </si>
  <si>
    <t>経営者のもと、会社としてのBCP活動を行う</t>
  </si>
  <si>
    <t>必要な訓練・演習</t>
  </si>
  <si>
    <t>訓練・演習名</t>
  </si>
  <si>
    <t>自宅
電話番号</t>
    <rPh sb="0" eb="2">
      <t>ジタク</t>
    </rPh>
    <rPh sb="3" eb="7">
      <t>デンワバンゴウ</t>
    </rPh>
    <phoneticPr fontId="1"/>
  </si>
  <si>
    <t>代替方法・機種</t>
    <rPh sb="0" eb="2">
      <t>ダイガエ</t>
    </rPh>
    <rPh sb="2" eb="4">
      <t>ホウホウ</t>
    </rPh>
    <rPh sb="5" eb="7">
      <t>キシュ</t>
    </rPh>
    <phoneticPr fontId="1"/>
  </si>
  <si>
    <t>安否確認の担当体制</t>
  </si>
  <si>
    <t>リスク対策.com</t>
  </si>
  <si>
    <t>訓練・演習内容</t>
  </si>
  <si>
    <t>区分</t>
  </si>
  <si>
    <t>現地復旧実施検討表（事前対策として計画的に準備しておく）</t>
    <rPh sb="0" eb="2">
      <t>ジゼン</t>
    </rPh>
    <rPh sb="4" eb="6">
      <t>ジッシ</t>
    </rPh>
    <rPh sb="10" eb="12">
      <t>ジゼン</t>
    </rPh>
    <rPh sb="12" eb="14">
      <t>タイサク</t>
    </rPh>
    <rPh sb="17" eb="20">
      <t>ケイカクテキ</t>
    </rPh>
    <rPh sb="21" eb="23">
      <t>ジュンビ</t>
    </rPh>
    <phoneticPr fontId="1"/>
  </si>
  <si>
    <t>・職場の安全確認、備蓄品や災害時使用機器の点検など</t>
    <rPh sb="1" eb="3">
      <t>ショクバ</t>
    </rPh>
    <rPh sb="4" eb="8">
      <t>アンゼンカクニン</t>
    </rPh>
    <rPh sb="9" eb="12">
      <t>ビチクヒン</t>
    </rPh>
    <rPh sb="13" eb="20">
      <t>サイガイジシヨウキキ</t>
    </rPh>
    <rPh sb="21" eb="23">
      <t>テンケン</t>
    </rPh>
    <phoneticPr fontId="1"/>
  </si>
  <si>
    <t>実施時間</t>
  </si>
  <si>
    <t>地震を想定した避難と初期対応の訓練</t>
  </si>
  <si>
    <t>従業員・家族等への家庭ＢＣＰ（被災からの生活再建）</t>
    <rPh sb="0" eb="3">
      <t>ジュウギョウイン</t>
    </rPh>
    <rPh sb="4" eb="6">
      <t>カゾク</t>
    </rPh>
    <rPh sb="6" eb="7">
      <t>トウ</t>
    </rPh>
    <rPh sb="9" eb="11">
      <t>カテイ</t>
    </rPh>
    <rPh sb="15" eb="17">
      <t>ヒサイ</t>
    </rPh>
    <rPh sb="20" eb="22">
      <t>セイカツ</t>
    </rPh>
    <rPh sb="22" eb="24">
      <t>サイケン</t>
    </rPh>
    <phoneticPr fontId="1"/>
  </si>
  <si>
    <t>実地</t>
  </si>
  <si>
    <t>講師</t>
    <rPh sb="0" eb="2">
      <t>コウシ</t>
    </rPh>
    <phoneticPr fontId="1"/>
  </si>
  <si>
    <t>オペレーションの実施確認</t>
  </si>
  <si>
    <t>事業継続戦略</t>
    <rPh sb="0" eb="6">
      <t>ジギョウケイゾクセンリャク</t>
    </rPh>
    <phoneticPr fontId="1"/>
  </si>
  <si>
    <t>東名高速</t>
    <rPh sb="0" eb="2">
      <t>トウメイ</t>
    </rPh>
    <rPh sb="2" eb="4">
      <t>コウソク</t>
    </rPh>
    <phoneticPr fontId="1"/>
  </si>
  <si>
    <t>被害予測に基づく財務チェック</t>
  </si>
  <si>
    <t>担当４</t>
    <rPh sb="0" eb="2">
      <t>タントウ</t>
    </rPh>
    <phoneticPr fontId="1"/>
  </si>
  <si>
    <t>【参考様式６】事業所からの避難要領</t>
    <rPh sb="1" eb="3">
      <t>サンコウ</t>
    </rPh>
    <phoneticPr fontId="1"/>
  </si>
  <si>
    <t>DIG/イメージテン</t>
  </si>
  <si>
    <t>復旧担当</t>
    <rPh sb="0" eb="2">
      <t>フッキュウ</t>
    </rPh>
    <rPh sb="2" eb="4">
      <t>タントウ</t>
    </rPh>
    <phoneticPr fontId="1"/>
  </si>
  <si>
    <t>南海トラフ地震に関連する臨時情報発表時の対応</t>
    <rPh sb="0" eb="2">
      <t>ナンカイ</t>
    </rPh>
    <rPh sb="5" eb="7">
      <t>ジシン</t>
    </rPh>
    <rPh sb="8" eb="10">
      <t>カンレン</t>
    </rPh>
    <rPh sb="12" eb="14">
      <t>リンジ</t>
    </rPh>
    <rPh sb="14" eb="16">
      <t>ジョウホウ</t>
    </rPh>
    <rPh sb="16" eb="18">
      <t>ハッピョウ</t>
    </rPh>
    <rPh sb="18" eb="19">
      <t>ジ</t>
    </rPh>
    <rPh sb="20" eb="22">
      <t>タイオウ</t>
    </rPh>
    <phoneticPr fontId="1"/>
  </si>
  <si>
    <t>役割・区分</t>
    <rPh sb="0" eb="2">
      <t>ヤクワリ</t>
    </rPh>
    <rPh sb="3" eb="5">
      <t>クブン</t>
    </rPh>
    <phoneticPr fontId="1"/>
  </si>
  <si>
    <t>原材料の確保</t>
    <rPh sb="0" eb="3">
      <t>ゲンザイリョウ</t>
    </rPh>
    <rPh sb="4" eb="6">
      <t>カクホ</t>
    </rPh>
    <phoneticPr fontId="1"/>
  </si>
  <si>
    <t>※　評価対応メンバー　は 役員を含むBCM推進チームメンバー</t>
  </si>
  <si>
    <t>被災状況報告（速報版）　原則２４時間以内に報告</t>
    <rPh sb="0" eb="6">
      <t>ヒサイジョウキョウホウコク</t>
    </rPh>
    <rPh sb="7" eb="9">
      <t>ソクホウ</t>
    </rPh>
    <rPh sb="9" eb="10">
      <t>バン</t>
    </rPh>
    <rPh sb="12" eb="14">
      <t>ゲンソク</t>
    </rPh>
    <rPh sb="16" eb="17">
      <t>ジ</t>
    </rPh>
    <rPh sb="17" eb="20">
      <t>カンイナイ</t>
    </rPh>
    <rPh sb="21" eb="23">
      <t>ホウコク</t>
    </rPh>
    <phoneticPr fontId="1"/>
  </si>
  <si>
    <t>避難解除責任者（代理責任者）</t>
  </si>
  <si>
    <t>報告事項：</t>
    <rPh sb="0" eb="4">
      <t>ホウコクジコウ</t>
    </rPh>
    <phoneticPr fontId="1"/>
  </si>
  <si>
    <t>派遣</t>
    <rPh sb="0" eb="2">
      <t>ハケン</t>
    </rPh>
    <phoneticPr fontId="1"/>
  </si>
  <si>
    <t>従業員の安否・怪我人、不明者：　　あり　・　なし　・　調査中</t>
    <rPh sb="0" eb="3">
      <t>ジュウギョウイン</t>
    </rPh>
    <rPh sb="4" eb="6">
      <t>アンピ</t>
    </rPh>
    <rPh sb="7" eb="10">
      <t>ケガニン</t>
    </rPh>
    <rPh sb="11" eb="14">
      <t>フメイシャ</t>
    </rPh>
    <rPh sb="27" eb="30">
      <t>チョウサチュウ</t>
    </rPh>
    <phoneticPr fontId="1"/>
  </si>
  <si>
    <t>その他特記事項：　</t>
    <rPh sb="2" eb="3">
      <t>タ</t>
    </rPh>
    <rPh sb="3" eb="7">
      <t>トッキジコウ</t>
    </rPh>
    <phoneticPr fontId="1"/>
  </si>
  <si>
    <t>報告事業所：</t>
  </si>
  <si>
    <t>重要リソースの代替や企業連携での支援で対応を図る
【補足】
連携企業との業務分担など、被害状況にあわせたパターンを用意する</t>
    <rPh sb="0" eb="2">
      <t>ジュウヨウ</t>
    </rPh>
    <rPh sb="7" eb="9">
      <t>ダイガエ</t>
    </rPh>
    <rPh sb="10" eb="14">
      <t>キギョウレンケイ</t>
    </rPh>
    <rPh sb="16" eb="18">
      <t>シエン</t>
    </rPh>
    <rPh sb="19" eb="21">
      <t>タイオウ</t>
    </rPh>
    <rPh sb="22" eb="23">
      <t>ハカ</t>
    </rPh>
    <phoneticPr fontId="1"/>
  </si>
  <si>
    <t>代替機の確保は中</t>
    <rPh sb="0" eb="2">
      <t>ダイガエ</t>
    </rPh>
    <rPh sb="2" eb="3">
      <t>キ</t>
    </rPh>
    <rPh sb="4" eb="6">
      <t>カクホ</t>
    </rPh>
    <rPh sb="7" eb="8">
      <t>チュウ</t>
    </rPh>
    <phoneticPr fontId="1"/>
  </si>
  <si>
    <t>④近隣交通状況</t>
    <rPh sb="1" eb="3">
      <t>キンリン</t>
    </rPh>
    <rPh sb="3" eb="5">
      <t>コウツウ</t>
    </rPh>
    <rPh sb="5" eb="7">
      <t>ジョウキョウ</t>
    </rPh>
    <phoneticPr fontId="1"/>
  </si>
  <si>
    <t>備　　考</t>
    <rPh sb="0" eb="1">
      <t>ビ</t>
    </rPh>
    <rPh sb="3" eb="4">
      <t>コウ</t>
    </rPh>
    <phoneticPr fontId="1"/>
  </si>
  <si>
    <t>自社・支援企業</t>
    <rPh sb="0" eb="2">
      <t>ジシャ</t>
    </rPh>
    <rPh sb="3" eb="7">
      <t>シエンキギョウ</t>
    </rPh>
    <phoneticPr fontId="1"/>
  </si>
  <si>
    <t>特記事項</t>
    <rPh sb="0" eb="4">
      <t>トッキジコウ</t>
    </rPh>
    <phoneticPr fontId="1"/>
  </si>
  <si>
    <t>従業員部門</t>
    <rPh sb="0" eb="3">
      <t>ジュウギョウイン</t>
    </rPh>
    <rPh sb="3" eb="5">
      <t>ブモン</t>
    </rPh>
    <phoneticPr fontId="1"/>
  </si>
  <si>
    <t>巨大地震警戒</t>
    <rPh sb="0" eb="4">
      <t>キョダイジシン</t>
    </rPh>
    <phoneticPr fontId="1"/>
  </si>
  <si>
    <t>着手日</t>
    <rPh sb="0" eb="3">
      <t>チャクシュビ</t>
    </rPh>
    <phoneticPr fontId="1"/>
  </si>
  <si>
    <t>製造</t>
    <rPh sb="0" eb="2">
      <t>セイゾウ</t>
    </rPh>
    <phoneticPr fontId="1"/>
  </si>
  <si>
    <t>融資期待額（千円）</t>
    <rPh sb="0" eb="5">
      <t>ユウシキタイガク</t>
    </rPh>
    <rPh sb="6" eb="8">
      <t>センエン</t>
    </rPh>
    <phoneticPr fontId="1"/>
  </si>
  <si>
    <t>必要費用</t>
    <rPh sb="0" eb="4">
      <t>ヒツヨウヒヨウ</t>
    </rPh>
    <phoneticPr fontId="1"/>
  </si>
  <si>
    <t>支援企業・代替協力企業</t>
    <rPh sb="0" eb="2">
      <t>シエン</t>
    </rPh>
    <rPh sb="2" eb="4">
      <t>キギョウ</t>
    </rPh>
    <phoneticPr fontId="1"/>
  </si>
  <si>
    <t>検査</t>
    <rPh sb="0" eb="2">
      <t>ケンサ</t>
    </rPh>
    <phoneticPr fontId="1"/>
  </si>
  <si>
    <t>１W</t>
  </si>
  <si>
    <t>出社不可能</t>
  </si>
  <si>
    <t>パート</t>
  </si>
  <si>
    <t>対象の業務システムの利用が困難</t>
    <rPh sb="0" eb="2">
      <t>タイショウ</t>
    </rPh>
    <rPh sb="3" eb="5">
      <t>ギョウム</t>
    </rPh>
    <rPh sb="10" eb="12">
      <t>リヨウ</t>
    </rPh>
    <rPh sb="13" eb="15">
      <t>コンナン</t>
    </rPh>
    <phoneticPr fontId="1"/>
  </si>
  <si>
    <t>①従業員安否確認</t>
    <rPh sb="1" eb="4">
      <t>ジュウギョウイン</t>
    </rPh>
    <rPh sb="4" eb="6">
      <t>アンピ</t>
    </rPh>
    <rPh sb="6" eb="8">
      <t>カクニン</t>
    </rPh>
    <phoneticPr fontId="1"/>
  </si>
  <si>
    <t>本社事務所</t>
    <rPh sb="0" eb="2">
      <t>ホンシャ</t>
    </rPh>
    <rPh sb="2" eb="5">
      <t>ジムショ</t>
    </rPh>
    <phoneticPr fontId="1"/>
  </si>
  <si>
    <t>修理費補助制度</t>
    <rPh sb="0" eb="2">
      <t>シュウリ</t>
    </rPh>
    <rPh sb="2" eb="3">
      <t>ヒ</t>
    </rPh>
    <rPh sb="3" eb="5">
      <t>ホジョ</t>
    </rPh>
    <rPh sb="5" eb="7">
      <t>セイド</t>
    </rPh>
    <phoneticPr fontId="1"/>
  </si>
  <si>
    <t>代替対応の準備状況</t>
    <rPh sb="0" eb="2">
      <t>ダイガエ</t>
    </rPh>
    <rPh sb="2" eb="4">
      <t>タイオウ</t>
    </rPh>
    <rPh sb="5" eb="9">
      <t>ジュンビジョウキョウ</t>
    </rPh>
    <phoneticPr fontId="1"/>
  </si>
  <si>
    <t>資材倉庫</t>
    <rPh sb="0" eb="4">
      <t>シザイソウコ</t>
    </rPh>
    <phoneticPr fontId="1"/>
  </si>
  <si>
    <t>完成品</t>
    <rPh sb="0" eb="3">
      <t>カンセイヒン</t>
    </rPh>
    <phoneticPr fontId="1"/>
  </si>
  <si>
    <t>被災箇所</t>
    <rPh sb="0" eb="4">
      <t>ヒサイカショ</t>
    </rPh>
    <phoneticPr fontId="1"/>
  </si>
  <si>
    <t>可　・　否</t>
  </si>
  <si>
    <t>供給</t>
    <rPh sb="0" eb="2">
      <t>キョウキュウ</t>
    </rPh>
    <phoneticPr fontId="1"/>
  </si>
  <si>
    <t>BCPの基礎</t>
  </si>
  <si>
    <t>製品倉庫</t>
    <rPh sb="0" eb="4">
      <t>セイヒンソウコ</t>
    </rPh>
    <phoneticPr fontId="1"/>
  </si>
  <si>
    <t>電気</t>
    <rPh sb="0" eb="2">
      <t>デンキ</t>
    </rPh>
    <phoneticPr fontId="1"/>
  </si>
  <si>
    <t>地震によるシステム機器の損壊防止</t>
    <rPh sb="0" eb="2">
      <t>ジシン</t>
    </rPh>
    <rPh sb="9" eb="11">
      <t>キキ</t>
    </rPh>
    <rPh sb="12" eb="16">
      <t>ソンカイボウシ</t>
    </rPh>
    <phoneticPr fontId="1"/>
  </si>
  <si>
    <t>水道</t>
    <rPh sb="0" eb="2">
      <t>スイドウ</t>
    </rPh>
    <phoneticPr fontId="1"/>
  </si>
  <si>
    <t>種別</t>
    <rPh sb="0" eb="2">
      <t>シュベツ</t>
    </rPh>
    <phoneticPr fontId="1"/>
  </si>
  <si>
    <t>通行</t>
    <rPh sb="0" eb="2">
      <t>ツウコウ</t>
    </rPh>
    <phoneticPr fontId="1"/>
  </si>
  <si>
    <t>本社前</t>
    <rPh sb="0" eb="3">
      <t>ホンシャマエ</t>
    </rPh>
    <phoneticPr fontId="1"/>
  </si>
  <si>
    <t>参加報告（満足度、目的達成度など）</t>
    <rPh sb="0" eb="4">
      <t>サンカホウコク</t>
    </rPh>
    <rPh sb="5" eb="8">
      <t>マンゾクド</t>
    </rPh>
    <rPh sb="9" eb="14">
      <t>モクテキタッセイド</t>
    </rPh>
    <phoneticPr fontId="1"/>
  </si>
  <si>
    <t>国道</t>
    <rPh sb="0" eb="2">
      <t>コクドウ</t>
    </rPh>
    <phoneticPr fontId="1"/>
  </si>
  <si>
    <t>道路寸断の恐れ</t>
    <rPh sb="0" eb="2">
      <t>ドウロ</t>
    </rPh>
    <rPh sb="2" eb="4">
      <t>スンダン</t>
    </rPh>
    <rPh sb="5" eb="6">
      <t>オソ</t>
    </rPh>
    <phoneticPr fontId="1"/>
  </si>
  <si>
    <t>生産への影響は小
手洗い、給食等に影響</t>
    <rPh sb="0" eb="2">
      <t>セイサン</t>
    </rPh>
    <rPh sb="4" eb="6">
      <t>エイキョウ</t>
    </rPh>
    <rPh sb="7" eb="8">
      <t>ショウ</t>
    </rPh>
    <rPh sb="9" eb="11">
      <t>テアラ</t>
    </rPh>
    <rPh sb="13" eb="15">
      <t>キュウショク</t>
    </rPh>
    <rPh sb="15" eb="16">
      <t>トウ</t>
    </rPh>
    <rPh sb="17" eb="19">
      <t>エイキョウ</t>
    </rPh>
    <phoneticPr fontId="1"/>
  </si>
  <si>
    <t>自社で対応、または代替のシステム支援企業に依頼</t>
    <rPh sb="0" eb="2">
      <t>ジシャ</t>
    </rPh>
    <rPh sb="3" eb="5">
      <t>タイオウ</t>
    </rPh>
    <rPh sb="9" eb="11">
      <t>ダイガエ</t>
    </rPh>
    <rPh sb="16" eb="18">
      <t>シエン</t>
    </rPh>
    <rPh sb="18" eb="20">
      <t>キギョウ</t>
    </rPh>
    <rPh sb="21" eb="23">
      <t>イライ</t>
    </rPh>
    <phoneticPr fontId="1"/>
  </si>
  <si>
    <t>備　　　考</t>
    <rPh sb="0" eb="1">
      <t>ビ</t>
    </rPh>
    <rPh sb="4" eb="5">
      <t>コウ</t>
    </rPh>
    <phoneticPr fontId="1"/>
  </si>
  <si>
    <t>②設備・機械等の被災状況</t>
    <rPh sb="1" eb="3">
      <t>セツビ</t>
    </rPh>
    <rPh sb="4" eb="6">
      <t>キカイ</t>
    </rPh>
    <rPh sb="6" eb="7">
      <t>トウ</t>
    </rPh>
    <rPh sb="8" eb="10">
      <t>ヒサイ</t>
    </rPh>
    <rPh sb="10" eb="12">
      <t>ジョウキョウ</t>
    </rPh>
    <phoneticPr fontId="1"/>
  </si>
  <si>
    <t>2日前</t>
    <rPh sb="1" eb="3">
      <t>ニチマエ</t>
    </rPh>
    <phoneticPr fontId="1"/>
  </si>
  <si>
    <t>※　組織横断的な体制が望ましい。備考は危機時の役割などに利用</t>
  </si>
  <si>
    <t>在庫で対応、当面対応しない</t>
    <rPh sb="0" eb="2">
      <t>ザイコ</t>
    </rPh>
    <rPh sb="3" eb="5">
      <t>タイオウ</t>
    </rPh>
    <rPh sb="6" eb="8">
      <t>トウメン</t>
    </rPh>
    <rPh sb="8" eb="10">
      <t>タイオウ</t>
    </rPh>
    <phoneticPr fontId="1"/>
  </si>
  <si>
    <t>①出社不能者と出社見込み（詳細）</t>
    <rPh sb="1" eb="3">
      <t>シュッシャ</t>
    </rPh>
    <rPh sb="3" eb="5">
      <t>フノウ</t>
    </rPh>
    <rPh sb="5" eb="6">
      <t>シャ</t>
    </rPh>
    <rPh sb="7" eb="9">
      <t>シュッシャ</t>
    </rPh>
    <rPh sb="9" eb="11">
      <t>ミコ</t>
    </rPh>
    <rPh sb="13" eb="15">
      <t>ショウサイ</t>
    </rPh>
    <phoneticPr fontId="1"/>
  </si>
  <si>
    <t>設備・機械名</t>
    <rPh sb="0" eb="2">
      <t>セツビ</t>
    </rPh>
    <rPh sb="3" eb="6">
      <t>キカイメイ</t>
    </rPh>
    <phoneticPr fontId="1"/>
  </si>
  <si>
    <t>拠点の代替</t>
    <rPh sb="0" eb="2">
      <t>キョテン</t>
    </rPh>
    <rPh sb="3" eb="5">
      <t>ダイガエ</t>
    </rPh>
    <phoneticPr fontId="1"/>
  </si>
  <si>
    <t>代替の考え方</t>
    <rPh sb="0" eb="2">
      <t>ダイガエ</t>
    </rPh>
    <rPh sb="3" eb="4">
      <t>カンガ</t>
    </rPh>
    <rPh sb="5" eb="6">
      <t>カタ</t>
    </rPh>
    <phoneticPr fontId="1"/>
  </si>
  <si>
    <t>利用工程</t>
    <rPh sb="0" eb="2">
      <t>リヨウ</t>
    </rPh>
    <rPh sb="2" eb="4">
      <t>コウテイ</t>
    </rPh>
    <phoneticPr fontId="1"/>
  </si>
  <si>
    <t>復旧可否</t>
    <rPh sb="0" eb="4">
      <t>フッキュウカヒ</t>
    </rPh>
    <phoneticPr fontId="1"/>
  </si>
  <si>
    <t>保管場所</t>
    <rPh sb="0" eb="4">
      <t>ホカンバショ</t>
    </rPh>
    <phoneticPr fontId="1"/>
  </si>
  <si>
    <t>技術部代表</t>
    <rPh sb="0" eb="2">
      <t>ギジュツ</t>
    </rPh>
    <rPh sb="2" eb="3">
      <t>ブ</t>
    </rPh>
    <rPh sb="3" eb="5">
      <t>ダイヒョウ</t>
    </rPh>
    <phoneticPr fontId="1"/>
  </si>
  <si>
    <t>被災状況報告（第３報）　業務被害詳細（８４時間以内）</t>
    <rPh sb="0" eb="4">
      <t>ヒサイジョウキョウ</t>
    </rPh>
    <rPh sb="4" eb="6">
      <t>ホウコク</t>
    </rPh>
    <rPh sb="7" eb="8">
      <t>ダイ</t>
    </rPh>
    <rPh sb="9" eb="10">
      <t>ホウ</t>
    </rPh>
    <rPh sb="12" eb="14">
      <t>ギョウム</t>
    </rPh>
    <rPh sb="14" eb="18">
      <t>ヒガイショウサイ</t>
    </rPh>
    <rPh sb="21" eb="23">
      <t>ジカン</t>
    </rPh>
    <rPh sb="23" eb="25">
      <t>イナイ</t>
    </rPh>
    <phoneticPr fontId="1"/>
  </si>
  <si>
    <t>保険支払額（千円）</t>
    <rPh sb="0" eb="2">
      <t>ホケン</t>
    </rPh>
    <rPh sb="2" eb="4">
      <t>シハラ</t>
    </rPh>
    <rPh sb="4" eb="5">
      <t>ガク</t>
    </rPh>
    <rPh sb="6" eb="8">
      <t>センエン</t>
    </rPh>
    <phoneticPr fontId="1"/>
  </si>
  <si>
    <t>金額（千円）</t>
  </si>
  <si>
    <t>被災当日</t>
    <rPh sb="0" eb="4">
      <t>ヒサイトウジツ</t>
    </rPh>
    <phoneticPr fontId="1"/>
  </si>
  <si>
    <t>　静岡県BCP特別保証</t>
    <rPh sb="1" eb="4">
      <t>シズオカケン</t>
    </rPh>
    <rPh sb="7" eb="11">
      <t>トクベツホショウ</t>
    </rPh>
    <phoneticPr fontId="1"/>
  </si>
  <si>
    <t>　政府系金融機関</t>
    <rPh sb="1" eb="4">
      <t>セイフケイ</t>
    </rPh>
    <rPh sb="4" eb="8">
      <t>キンユウキカン</t>
    </rPh>
    <phoneticPr fontId="1"/>
  </si>
  <si>
    <t>自社所有の物件（空き地、社長の私有地など）</t>
    <rPh sb="0" eb="4">
      <t>ジシャショユウ</t>
    </rPh>
    <rPh sb="5" eb="7">
      <t>ブッケン</t>
    </rPh>
    <rPh sb="8" eb="9">
      <t>ア</t>
    </rPh>
    <rPh sb="10" eb="11">
      <t>チ</t>
    </rPh>
    <rPh sb="12" eb="14">
      <t>シャチョウ</t>
    </rPh>
    <rPh sb="15" eb="18">
      <t>シユウチ</t>
    </rPh>
    <phoneticPr fontId="1"/>
  </si>
  <si>
    <t>保険金額（千円）</t>
    <rPh sb="0" eb="4">
      <t>ホケンキンガク</t>
    </rPh>
    <rPh sb="5" eb="7">
      <t>センエン</t>
    </rPh>
    <phoneticPr fontId="1"/>
  </si>
  <si>
    <t>復旧・再調達
費用
（計）</t>
    <rPh sb="0" eb="2">
      <t>フッキュウ</t>
    </rPh>
    <rPh sb="3" eb="6">
      <t>サイチョウタツ</t>
    </rPh>
    <rPh sb="7" eb="9">
      <t>ヒヨウ</t>
    </rPh>
    <rPh sb="11" eb="12">
      <t>ケイ</t>
    </rPh>
    <phoneticPr fontId="1"/>
  </si>
  <si>
    <t>第3版様式７ａ</t>
    <rPh sb="0" eb="1">
      <t>ダイ</t>
    </rPh>
    <rPh sb="2" eb="3">
      <t>ハン</t>
    </rPh>
    <rPh sb="3" eb="5">
      <t>ヨウシキ</t>
    </rPh>
    <phoneticPr fontId="1"/>
  </si>
  <si>
    <t>外部への被災状況発信</t>
    <rPh sb="0" eb="2">
      <t>ガイブ</t>
    </rPh>
    <rPh sb="4" eb="8">
      <t>ヒサイジョウキョウ</t>
    </rPh>
    <rPh sb="8" eb="10">
      <t>ハッシン</t>
    </rPh>
    <phoneticPr fontId="1"/>
  </si>
  <si>
    <t>⑥その他特記事項</t>
    <rPh sb="3" eb="4">
      <t>タ</t>
    </rPh>
    <rPh sb="4" eb="8">
      <t>トッキジコウ</t>
    </rPh>
    <phoneticPr fontId="1"/>
  </si>
  <si>
    <t>⑤主要顧客企業の被災状況</t>
    <rPh sb="1" eb="3">
      <t>シュヨウ</t>
    </rPh>
    <rPh sb="3" eb="5">
      <t>コキャク</t>
    </rPh>
    <rPh sb="5" eb="7">
      <t>キギョウ</t>
    </rPh>
    <rPh sb="8" eb="10">
      <t>ヒサイ</t>
    </rPh>
    <rPh sb="10" eb="12">
      <t>ジョウキョウ</t>
    </rPh>
    <phoneticPr fontId="1"/>
  </si>
  <si>
    <t>目標納期</t>
    <rPh sb="0" eb="4">
      <t>モクヒョウノウキ</t>
    </rPh>
    <phoneticPr fontId="1"/>
  </si>
  <si>
    <t>対応内容</t>
    <rPh sb="0" eb="2">
      <t>タイオウ</t>
    </rPh>
    <rPh sb="2" eb="4">
      <t>ナイヨウ</t>
    </rPh>
    <phoneticPr fontId="1"/>
  </si>
  <si>
    <t>機械Bの確保＆動作確認</t>
    <rPh sb="0" eb="2">
      <t>キカイ</t>
    </rPh>
    <rPh sb="4" eb="6">
      <t>カクホ</t>
    </rPh>
    <rPh sb="7" eb="11">
      <t>ドウサカクニン</t>
    </rPh>
    <phoneticPr fontId="1"/>
  </si>
  <si>
    <t>実施体制</t>
    <rPh sb="0" eb="2">
      <t>ジッシ</t>
    </rPh>
    <rPh sb="2" eb="4">
      <t>タイセイ</t>
    </rPh>
    <phoneticPr fontId="1"/>
  </si>
  <si>
    <t>　　　　年　　　月　　　日</t>
    <rPh sb="4" eb="5">
      <t>ネン</t>
    </rPh>
    <rPh sb="8" eb="9">
      <t>ゲツ</t>
    </rPh>
    <rPh sb="12" eb="13">
      <t>ヒ</t>
    </rPh>
    <phoneticPr fontId="1"/>
  </si>
  <si>
    <t>被災情報詳細入手</t>
    <rPh sb="0" eb="4">
      <t>ヒサイジョウホウ</t>
    </rPh>
    <rPh sb="4" eb="6">
      <t>ショウサイ</t>
    </rPh>
    <rPh sb="6" eb="8">
      <t>ニュウシュ</t>
    </rPh>
    <phoneticPr fontId="1"/>
  </si>
  <si>
    <t>代替対策の場合の確認は支援先企業と連携をとり、以下の内容を確認しておくことが重要です。</t>
    <rPh sb="0" eb="2">
      <t>ダイガエ</t>
    </rPh>
    <rPh sb="2" eb="4">
      <t>タイサク</t>
    </rPh>
    <rPh sb="5" eb="7">
      <t>バアイ</t>
    </rPh>
    <rPh sb="8" eb="10">
      <t>カクニン</t>
    </rPh>
    <rPh sb="11" eb="14">
      <t>シエンサキ</t>
    </rPh>
    <rPh sb="14" eb="16">
      <t>キギョウ</t>
    </rPh>
    <rPh sb="17" eb="19">
      <t>レンケイ</t>
    </rPh>
    <rPh sb="23" eb="25">
      <t>イカ</t>
    </rPh>
    <rPh sb="26" eb="28">
      <t>ナイヨウ</t>
    </rPh>
    <rPh sb="29" eb="31">
      <t>カクニン</t>
    </rPh>
    <rPh sb="38" eb="40">
      <t>ジュウヨウ</t>
    </rPh>
    <phoneticPr fontId="1"/>
  </si>
  <si>
    <t>施設・設備・在庫・インフラ等多方面で被害</t>
    <rPh sb="0" eb="2">
      <t>シセツ</t>
    </rPh>
    <rPh sb="3" eb="5">
      <t>セツビ</t>
    </rPh>
    <rPh sb="6" eb="8">
      <t>ザイコ</t>
    </rPh>
    <rPh sb="13" eb="14">
      <t>トウ</t>
    </rPh>
    <rPh sb="14" eb="17">
      <t>タホウメン</t>
    </rPh>
    <rPh sb="18" eb="20">
      <t>ヒガイ</t>
    </rPh>
    <phoneticPr fontId="1"/>
  </si>
  <si>
    <t>対策概要（実施内容）</t>
    <rPh sb="0" eb="4">
      <t>タイサクガイヨウ</t>
    </rPh>
    <rPh sb="5" eb="9">
      <t>ジッシナイヨウ</t>
    </rPh>
    <phoneticPr fontId="1"/>
  </si>
  <si>
    <t>携帯メールアドレスetc
（必ず連絡が取れる手段で）</t>
    <rPh sb="0" eb="2">
      <t>ケイタイ</t>
    </rPh>
    <rPh sb="14" eb="15">
      <t>カナラ</t>
    </rPh>
    <rPh sb="16" eb="18">
      <t>レンラク</t>
    </rPh>
    <rPh sb="19" eb="20">
      <t>ト</t>
    </rPh>
    <rPh sb="22" eb="24">
      <t>シュダン</t>
    </rPh>
    <phoneticPr fontId="1"/>
  </si>
  <si>
    <t>完了日</t>
    <rPh sb="0" eb="3">
      <t>カンリョウビ</t>
    </rPh>
    <phoneticPr fontId="1"/>
  </si>
  <si>
    <t>実績費用</t>
    <rPh sb="0" eb="4">
      <t>ジッセキヒヨウ</t>
    </rPh>
    <phoneticPr fontId="1"/>
  </si>
  <si>
    <t>拠点名</t>
    <rPh sb="0" eb="3">
      <t>キョテンメイ</t>
    </rPh>
    <phoneticPr fontId="1"/>
  </si>
  <si>
    <t>顧客企業名</t>
    <rPh sb="0" eb="2">
      <t>コキャク</t>
    </rPh>
    <rPh sb="2" eb="4">
      <t>キギョウ</t>
    </rPh>
    <rPh sb="4" eb="5">
      <t>メイ</t>
    </rPh>
    <phoneticPr fontId="1"/>
  </si>
  <si>
    <t>行政・気象庁などからの情報</t>
    <rPh sb="0" eb="2">
      <t>ギョウセイ</t>
    </rPh>
    <rPh sb="3" eb="6">
      <t>キショウチョウ</t>
    </rPh>
    <rPh sb="11" eb="13">
      <t>ジョウホウ</t>
    </rPh>
    <phoneticPr fontId="1"/>
  </si>
  <si>
    <t>必要備品は一度の揃えるのは予算的にも大変なので、定額を予算化し徐々に買い揃えるように</t>
    <rPh sb="0" eb="4">
      <t>ヒツヨウビヒン</t>
    </rPh>
    <rPh sb="5" eb="7">
      <t>イチド</t>
    </rPh>
    <rPh sb="8" eb="9">
      <t>ソロ</t>
    </rPh>
    <rPh sb="13" eb="16">
      <t>ヨサンテキ</t>
    </rPh>
    <rPh sb="18" eb="20">
      <t>タイヘン</t>
    </rPh>
    <rPh sb="24" eb="26">
      <t>テイガク</t>
    </rPh>
    <rPh sb="27" eb="30">
      <t>ヨサンカ</t>
    </rPh>
    <rPh sb="31" eb="33">
      <t>ジョジョ</t>
    </rPh>
    <rPh sb="34" eb="35">
      <t>カ</t>
    </rPh>
    <rPh sb="36" eb="37">
      <t>ソロ</t>
    </rPh>
    <phoneticPr fontId="1"/>
  </si>
  <si>
    <t>代替拠点の場合</t>
    <rPh sb="0" eb="4">
      <t>ダイガエキョテン</t>
    </rPh>
    <rPh sb="5" eb="7">
      <t>バアイ</t>
    </rPh>
    <phoneticPr fontId="1"/>
  </si>
  <si>
    <t>◎</t>
  </si>
  <si>
    <t>取引先Ａ社</t>
  </si>
  <si>
    <t>また、BCMを災害時のみの対応策として捉えるのではなく、業務の効率化や改善に活かすとともに、リスク対応を自分事として捉え、リスクに強い企業体質づくりに継続して取り組むことで、より実効性のあるBCM活動を目指します。</t>
    <rPh sb="49" eb="51">
      <t>タイオウ</t>
    </rPh>
    <rPh sb="52" eb="55">
      <t>ジブンゴト</t>
    </rPh>
    <rPh sb="58" eb="59">
      <t>トラ</t>
    </rPh>
    <rPh sb="98" eb="100">
      <t>カツドウ</t>
    </rPh>
    <phoneticPr fontId="1"/>
  </si>
  <si>
    <t>被害内容</t>
    <rPh sb="0" eb="2">
      <t>ヒガイ</t>
    </rPh>
    <rPh sb="2" eb="4">
      <t>ナイヨウ</t>
    </rPh>
    <phoneticPr fontId="1"/>
  </si>
  <si>
    <t>現地復旧方針</t>
    <rPh sb="0" eb="2">
      <t>ゲンチ</t>
    </rPh>
    <rPh sb="2" eb="4">
      <t>フッキュウ</t>
    </rPh>
    <rPh sb="4" eb="6">
      <t>ホウシン</t>
    </rPh>
    <phoneticPr fontId="1"/>
  </si>
  <si>
    <t>修理工具有無</t>
    <rPh sb="0" eb="4">
      <t>シュウリコウグ</t>
    </rPh>
    <rPh sb="4" eb="6">
      <t>ウム</t>
    </rPh>
    <phoneticPr fontId="1"/>
  </si>
  <si>
    <t>想定脅威</t>
    <rPh sb="0" eb="2">
      <t>ソウテイ</t>
    </rPh>
    <rPh sb="2" eb="4">
      <t>キョウイ</t>
    </rPh>
    <phoneticPr fontId="1"/>
  </si>
  <si>
    <t>上陸時間が正確に予想され、風速、降雨量も予測精度が上がってくる
暴風雨注意報等が発令、降雨量によっては避難準備情報の発令</t>
    <rPh sb="0" eb="4">
      <t>ジョウリクジカン</t>
    </rPh>
    <rPh sb="5" eb="7">
      <t>セイカク</t>
    </rPh>
    <rPh sb="8" eb="10">
      <t>ヨソウ</t>
    </rPh>
    <rPh sb="13" eb="15">
      <t>フウソク</t>
    </rPh>
    <rPh sb="16" eb="19">
      <t>コウウリョウ</t>
    </rPh>
    <rPh sb="20" eb="24">
      <t>ヨソクセイド</t>
    </rPh>
    <rPh sb="25" eb="26">
      <t>ア</t>
    </rPh>
    <rPh sb="32" eb="35">
      <t>ボウフウウ</t>
    </rPh>
    <rPh sb="35" eb="38">
      <t>チュウイホウ</t>
    </rPh>
    <rPh sb="38" eb="39">
      <t>トウ</t>
    </rPh>
    <rPh sb="40" eb="42">
      <t>ハツレイ</t>
    </rPh>
    <rPh sb="43" eb="46">
      <t>コウウリョウ</t>
    </rPh>
    <rPh sb="51" eb="55">
      <t>ヒナンジュンビ</t>
    </rPh>
    <rPh sb="55" eb="57">
      <t>ジョウホウ</t>
    </rPh>
    <rPh sb="58" eb="60">
      <t>ハツレイ</t>
    </rPh>
    <phoneticPr fontId="1"/>
  </si>
  <si>
    <t>修理着手日</t>
    <rPh sb="0" eb="5">
      <t>シュウリチャクシュビ</t>
    </rPh>
    <phoneticPr fontId="1"/>
  </si>
  <si>
    <t>参考様式３</t>
    <rPh sb="0" eb="4">
      <t>サンコウヨウシキ</t>
    </rPh>
    <phoneticPr fontId="1"/>
  </si>
  <si>
    <t>当事業所は浸水対象区域外で被災無し</t>
    <rPh sb="0" eb="1">
      <t>トウ</t>
    </rPh>
    <rPh sb="1" eb="4">
      <t>ジギョウショ</t>
    </rPh>
    <rPh sb="5" eb="7">
      <t>シンスイ</t>
    </rPh>
    <rPh sb="7" eb="12">
      <t>タイショウクイキガイ</t>
    </rPh>
    <rPh sb="13" eb="16">
      <t>ヒサイナ</t>
    </rPh>
    <phoneticPr fontId="1"/>
  </si>
  <si>
    <t>修理状況</t>
    <rPh sb="0" eb="4">
      <t>シュウリジョウキョウ</t>
    </rPh>
    <phoneticPr fontId="1"/>
  </si>
  <si>
    <t>鉄道など影響が出ることも</t>
    <rPh sb="0" eb="2">
      <t>テツドウ</t>
    </rPh>
    <rPh sb="4" eb="6">
      <t>エイキョウ</t>
    </rPh>
    <rPh sb="7" eb="8">
      <t>デ</t>
    </rPh>
    <phoneticPr fontId="1"/>
  </si>
  <si>
    <t>被災時に、現実になった被災状況を評価したうえで、現地復旧するのか、代替当の手段をとるのかを</t>
    <rPh sb="0" eb="3">
      <t>ヒサイジ</t>
    </rPh>
    <rPh sb="5" eb="7">
      <t>ゲンジツ</t>
    </rPh>
    <rPh sb="11" eb="15">
      <t>ヒサイジョウキョウ</t>
    </rPh>
    <rPh sb="16" eb="18">
      <t>ヒョウカ</t>
    </rPh>
    <rPh sb="24" eb="28">
      <t>ゲンチフッキュウ</t>
    </rPh>
    <rPh sb="33" eb="35">
      <t>ダイガエ</t>
    </rPh>
    <rPh sb="35" eb="36">
      <t>トウ</t>
    </rPh>
    <rPh sb="37" eb="39">
      <t>シュダン</t>
    </rPh>
    <phoneticPr fontId="1"/>
  </si>
  <si>
    <t>第３版様式10ｊ（改）</t>
    <rPh sb="9" eb="10">
      <t>カイ</t>
    </rPh>
    <phoneticPr fontId="1"/>
  </si>
  <si>
    <t>判断し、現地復旧となった場合、具体的な実施計画を作成し、修復をおこなう</t>
    <rPh sb="0" eb="2">
      <t>ハンダン</t>
    </rPh>
    <rPh sb="4" eb="8">
      <t>ゲンチフッキュウ</t>
    </rPh>
    <rPh sb="12" eb="14">
      <t>バアイ</t>
    </rPh>
    <rPh sb="15" eb="18">
      <t>グタイテキ</t>
    </rPh>
    <rPh sb="19" eb="23">
      <t>ジッシケイカク</t>
    </rPh>
    <rPh sb="24" eb="26">
      <t>サクセイ</t>
    </rPh>
    <rPh sb="28" eb="30">
      <t>シュウフク</t>
    </rPh>
    <phoneticPr fontId="1"/>
  </si>
  <si>
    <t>極大</t>
    <rPh sb="0" eb="2">
      <t>ゴクダイ</t>
    </rPh>
    <phoneticPr fontId="1"/>
  </si>
  <si>
    <t>特に重要な経営資源が使用できない、確保できないとき、どう凌ぐかが大切です。</t>
    <rPh sb="0" eb="1">
      <t>トク</t>
    </rPh>
    <rPh sb="2" eb="4">
      <t>ジュウヨウ</t>
    </rPh>
    <rPh sb="5" eb="9">
      <t>ケイエイシゲン</t>
    </rPh>
    <rPh sb="10" eb="12">
      <t>シヨウ</t>
    </rPh>
    <rPh sb="17" eb="19">
      <t>カクホ</t>
    </rPh>
    <rPh sb="28" eb="29">
      <t>シノ</t>
    </rPh>
    <rPh sb="32" eb="34">
      <t>タイセツ</t>
    </rPh>
    <phoneticPr fontId="1"/>
  </si>
  <si>
    <t>氏名
代理氏名</t>
  </si>
  <si>
    <t>そこで、外部資源を活用したり、その資源を利用しなくても稼げる道を選択することが重要です。</t>
    <rPh sb="4" eb="8">
      <t>ガイブシゲン</t>
    </rPh>
    <rPh sb="9" eb="11">
      <t>カツヨウ</t>
    </rPh>
    <rPh sb="17" eb="19">
      <t>シゲン</t>
    </rPh>
    <rPh sb="20" eb="22">
      <t>リヨウ</t>
    </rPh>
    <rPh sb="27" eb="28">
      <t>カセ</t>
    </rPh>
    <rPh sb="30" eb="31">
      <t>ミチ</t>
    </rPh>
    <rPh sb="32" eb="34">
      <t>センタク</t>
    </rPh>
    <rPh sb="39" eb="41">
      <t>ジュウヨウ</t>
    </rPh>
    <phoneticPr fontId="1"/>
  </si>
  <si>
    <t>第３版様式１０ｂ</t>
  </si>
  <si>
    <t>天竜川洪水</t>
    <rPh sb="0" eb="3">
      <t>テンリュウガワ</t>
    </rPh>
    <rPh sb="3" eb="5">
      <t>コウズイ</t>
    </rPh>
    <phoneticPr fontId="1"/>
  </si>
  <si>
    <t>1ヶ月程度断水</t>
    <rPh sb="2" eb="3">
      <t>ゲツ</t>
    </rPh>
    <rPh sb="3" eb="5">
      <t>テイド</t>
    </rPh>
    <rPh sb="5" eb="7">
      <t>ダンスイ</t>
    </rPh>
    <phoneticPr fontId="1"/>
  </si>
  <si>
    <t>種類</t>
    <rPh sb="0" eb="2">
      <t>シュルイ</t>
    </rPh>
    <phoneticPr fontId="1"/>
  </si>
  <si>
    <t>ときの対応策を検討します。</t>
  </si>
  <si>
    <t>営業部長</t>
    <rPh sb="0" eb="4">
      <t>エイギョウブチョウ</t>
    </rPh>
    <phoneticPr fontId="1"/>
  </si>
  <si>
    <t>職種</t>
    <rPh sb="0" eb="2">
      <t>ショクシュ</t>
    </rPh>
    <phoneticPr fontId="1"/>
  </si>
  <si>
    <t>復旧期間</t>
    <rPh sb="0" eb="2">
      <t>フッキュウ</t>
    </rPh>
    <rPh sb="2" eb="4">
      <t>キカン</t>
    </rPh>
    <phoneticPr fontId="1"/>
  </si>
  <si>
    <t>対応優先度</t>
    <rPh sb="0" eb="5">
      <t>タイオウユウセンド</t>
    </rPh>
    <phoneticPr fontId="1"/>
  </si>
  <si>
    <t>来社顧客・従業員の安否確認</t>
    <rPh sb="0" eb="4">
      <t>ライシャコキャク</t>
    </rPh>
    <rPh sb="5" eb="8">
      <t>ジュウギョウイン</t>
    </rPh>
    <rPh sb="9" eb="13">
      <t>アンピカクニン</t>
    </rPh>
    <phoneticPr fontId="1"/>
  </si>
  <si>
    <t>参考：</t>
    <rPh sb="0" eb="2">
      <t>サンコウ</t>
    </rPh>
    <phoneticPr fontId="1"/>
  </si>
  <si>
    <t>左記以外の
緊急連絡先</t>
    <rPh sb="0" eb="4">
      <t>サキイガイ</t>
    </rPh>
    <rPh sb="6" eb="11">
      <t>キンキュウレンラクサキ</t>
    </rPh>
    <phoneticPr fontId="1"/>
  </si>
  <si>
    <t>優先度</t>
    <rPh sb="0" eb="3">
      <t>ユウセンド</t>
    </rPh>
    <phoneticPr fontId="1"/>
  </si>
  <si>
    <t>評価実施日：</t>
    <rPh sb="0" eb="4">
      <t>ヒョウカジッシ</t>
    </rPh>
    <rPh sb="4" eb="5">
      <t>ビ</t>
    </rPh>
    <phoneticPr fontId="1"/>
  </si>
  <si>
    <t>【参考様式８】代替拠点の概要</t>
    <rPh sb="1" eb="3">
      <t>サンコウ</t>
    </rPh>
    <phoneticPr fontId="1"/>
  </si>
  <si>
    <t>鋼材</t>
    <rPh sb="0" eb="2">
      <t>コウザイ</t>
    </rPh>
    <phoneticPr fontId="1"/>
  </si>
  <si>
    <t>今後の対応方針</t>
    <rPh sb="0" eb="2">
      <t>コンゴ</t>
    </rPh>
    <rPh sb="3" eb="5">
      <t>タイオウ</t>
    </rPh>
    <rPh sb="5" eb="7">
      <t>ホウシン</t>
    </rPh>
    <phoneticPr fontId="1"/>
  </si>
  <si>
    <t>電話、ＦＡＸ、メールアドレス</t>
  </si>
  <si>
    <t>現地復旧準備状況</t>
    <rPh sb="0" eb="4">
      <t>ゲンチフッキュウ</t>
    </rPh>
    <rPh sb="4" eb="8">
      <t>ジュンビジョウキョウ</t>
    </rPh>
    <phoneticPr fontId="1"/>
  </si>
  <si>
    <t>BCMの見直し・改善報告書</t>
    <rPh sb="4" eb="6">
      <t>ミナオ</t>
    </rPh>
    <rPh sb="8" eb="10">
      <t>カイゼン</t>
    </rPh>
    <rPh sb="10" eb="13">
      <t>ホウコクショ</t>
    </rPh>
    <phoneticPr fontId="1"/>
  </si>
  <si>
    <t>緊急時特別融資枠</t>
    <rPh sb="0" eb="3">
      <t>キンキュウジ</t>
    </rPh>
    <rPh sb="3" eb="5">
      <t>トクベツ</t>
    </rPh>
    <rPh sb="5" eb="7">
      <t>ユウシ</t>
    </rPh>
    <rPh sb="7" eb="8">
      <t>ワク</t>
    </rPh>
    <phoneticPr fontId="1"/>
  </si>
  <si>
    <t>機種、号機</t>
    <rPh sb="0" eb="2">
      <t>キシュ</t>
    </rPh>
    <rPh sb="3" eb="5">
      <t>ゴウキ</t>
    </rPh>
    <phoneticPr fontId="1"/>
  </si>
  <si>
    <t>見直し・改善状況（個別）</t>
    <rPh sb="0" eb="2">
      <t>ミナオ</t>
    </rPh>
    <rPh sb="4" eb="6">
      <t>カイゼン</t>
    </rPh>
    <rPh sb="6" eb="8">
      <t>ジョウキョウ</t>
    </rPh>
    <rPh sb="9" eb="11">
      <t>コベツ</t>
    </rPh>
    <phoneticPr fontId="1"/>
  </si>
  <si>
    <t>　　　　　　　　　　　年　　　月　　　日　作成　　</t>
    <rPh sb="11" eb="12">
      <t>ネン</t>
    </rPh>
    <rPh sb="15" eb="16">
      <t>ガツ</t>
    </rPh>
    <rPh sb="19" eb="20">
      <t>ヒ</t>
    </rPh>
    <rPh sb="21" eb="23">
      <t>サクセイ</t>
    </rPh>
    <phoneticPr fontId="1"/>
  </si>
  <si>
    <t>システム停止</t>
    <rPh sb="4" eb="6">
      <t>テイシ</t>
    </rPh>
    <phoneticPr fontId="1"/>
  </si>
  <si>
    <t>〇S</t>
  </si>
  <si>
    <t>年度により異なり、省庁によっても異なる
ため、HP等から最新情報の入手を</t>
    <rPh sb="9" eb="11">
      <t>ショウチョウ</t>
    </rPh>
    <rPh sb="16" eb="17">
      <t>コト</t>
    </rPh>
    <rPh sb="25" eb="26">
      <t>トウ</t>
    </rPh>
    <rPh sb="28" eb="30">
      <t>サイシン</t>
    </rPh>
    <rPh sb="30" eb="32">
      <t>ジョウホウ</t>
    </rPh>
    <rPh sb="33" eb="35">
      <t>ニュウシュ</t>
    </rPh>
    <phoneticPr fontId="1"/>
  </si>
  <si>
    <t>様式６　　初動対応手順と事前対策【突発型】</t>
    <rPh sb="0" eb="2">
      <t>ヨウシキ</t>
    </rPh>
    <rPh sb="17" eb="19">
      <t>トッパツ</t>
    </rPh>
    <rPh sb="19" eb="20">
      <t>ガタ</t>
    </rPh>
    <phoneticPr fontId="1"/>
  </si>
  <si>
    <t>専務</t>
    <rPh sb="0" eb="2">
      <t>センム</t>
    </rPh>
    <phoneticPr fontId="1"/>
  </si>
  <si>
    <t>教育の実施状況</t>
    <rPh sb="0" eb="2">
      <t>キョウイク</t>
    </rPh>
    <rPh sb="3" eb="5">
      <t>ジッシ</t>
    </rPh>
    <rPh sb="5" eb="7">
      <t>ジョウキョウ</t>
    </rPh>
    <phoneticPr fontId="1"/>
  </si>
  <si>
    <t>演習・訓練の実施状況</t>
    <rPh sb="0" eb="2">
      <t>エンシュウ</t>
    </rPh>
    <rPh sb="3" eb="5">
      <t>クンレン</t>
    </rPh>
    <rPh sb="6" eb="8">
      <t>ジッシ</t>
    </rPh>
    <rPh sb="8" eb="10">
      <t>ジョウキョウ</t>
    </rPh>
    <phoneticPr fontId="1"/>
  </si>
  <si>
    <t>家族構成:大
　2名･子2名</t>
    <rPh sb="5" eb="6">
      <t>ダイ</t>
    </rPh>
    <rPh sb="10" eb="11">
      <t>メイメイ</t>
    </rPh>
    <phoneticPr fontId="1"/>
  </si>
  <si>
    <t>重要設備の場合</t>
    <rPh sb="0" eb="4">
      <t>ジュウヨウセツビ</t>
    </rPh>
    <rPh sb="5" eb="7">
      <t>バアイ</t>
    </rPh>
    <phoneticPr fontId="1"/>
  </si>
  <si>
    <t>人的資源の場合</t>
    <rPh sb="0" eb="4">
      <t>ジンテキシゲン</t>
    </rPh>
    <rPh sb="5" eb="7">
      <t>バアイ</t>
    </rPh>
    <phoneticPr fontId="1"/>
  </si>
  <si>
    <t>影響や再開見込</t>
    <rPh sb="0" eb="2">
      <t>エイキョウ</t>
    </rPh>
    <rPh sb="3" eb="7">
      <t>サイカイミコ</t>
    </rPh>
    <phoneticPr fontId="1"/>
  </si>
  <si>
    <t>本社事業場は３ｍ程度浸水の可能性あり</t>
    <rPh sb="0" eb="5">
      <t>ホンシャジギョウジョウ</t>
    </rPh>
    <rPh sb="8" eb="10">
      <t>テイド</t>
    </rPh>
    <rPh sb="10" eb="12">
      <t>シンスイ</t>
    </rPh>
    <rPh sb="13" eb="16">
      <t>カノウセイ</t>
    </rPh>
    <phoneticPr fontId="1"/>
  </si>
  <si>
    <t>代替時の課題</t>
    <rPh sb="0" eb="2">
      <t>ダイガエ</t>
    </rPh>
    <rPh sb="2" eb="3">
      <t>ジ</t>
    </rPh>
    <rPh sb="4" eb="6">
      <t>カダイ</t>
    </rPh>
    <phoneticPr fontId="1"/>
  </si>
  <si>
    <t>事前対策・備考</t>
    <rPh sb="0" eb="4">
      <t>ジゼンタイサク</t>
    </rPh>
    <rPh sb="5" eb="7">
      <t>ビコウ</t>
    </rPh>
    <phoneticPr fontId="1"/>
  </si>
  <si>
    <t>代替仕入先</t>
    <rPh sb="0" eb="2">
      <t>ダイガエ</t>
    </rPh>
    <rPh sb="2" eb="5">
      <t>シイレサキ</t>
    </rPh>
    <phoneticPr fontId="1"/>
  </si>
  <si>
    <t>代替候補場所</t>
    <rPh sb="0" eb="2">
      <t>ダイガエ</t>
    </rPh>
    <rPh sb="2" eb="4">
      <t>コウホ</t>
    </rPh>
    <rPh sb="4" eb="6">
      <t>バショ</t>
    </rPh>
    <phoneticPr fontId="1"/>
  </si>
  <si>
    <t>15日</t>
    <rPh sb="2" eb="3">
      <t>ニチ</t>
    </rPh>
    <phoneticPr fontId="1"/>
  </si>
  <si>
    <t>代替条件</t>
    <rPh sb="0" eb="2">
      <t>ダイガエ</t>
    </rPh>
    <rPh sb="2" eb="4">
      <t>ジョウケン</t>
    </rPh>
    <phoneticPr fontId="1"/>
  </si>
  <si>
    <t>　事業者の事情に合わせた、様式を準備しておくことも有効です。</t>
    <rPh sb="1" eb="4">
      <t>ジギョウシャ</t>
    </rPh>
    <rPh sb="5" eb="7">
      <t>ジジョウ</t>
    </rPh>
    <rPh sb="8" eb="9">
      <t>ア</t>
    </rPh>
    <rPh sb="13" eb="15">
      <t>ヨウシキ</t>
    </rPh>
    <rPh sb="16" eb="18">
      <t>ジュンビ</t>
    </rPh>
    <rPh sb="25" eb="27">
      <t>ユウコウ</t>
    </rPh>
    <phoneticPr fontId="1"/>
  </si>
  <si>
    <t>【参考様式７】安否確認方法一覧表</t>
    <rPh sb="1" eb="3">
      <t>サンコウ</t>
    </rPh>
    <phoneticPr fontId="1"/>
  </si>
  <si>
    <t>有効期日</t>
    <rPh sb="0" eb="4">
      <t>ユウコウキジツ</t>
    </rPh>
    <phoneticPr fontId="1"/>
  </si>
  <si>
    <t>３H</t>
  </si>
  <si>
    <t>対策本部機能の実施</t>
    <rPh sb="0" eb="4">
      <t>タイサクホンブ</t>
    </rPh>
    <rPh sb="4" eb="6">
      <t>キノウ</t>
    </rPh>
    <rPh sb="7" eb="9">
      <t>ジッシ</t>
    </rPh>
    <phoneticPr fontId="1"/>
  </si>
  <si>
    <t>活用可能な支援策をリストアップしておく</t>
    <rPh sb="0" eb="4">
      <t>カツヨウカノウ</t>
    </rPh>
    <rPh sb="5" eb="8">
      <t>シエンサク</t>
    </rPh>
    <phoneticPr fontId="1"/>
  </si>
  <si>
    <t>現状加入済み損害保険の支払い見込額を整理</t>
    <rPh sb="0" eb="2">
      <t>ゲンジョウ</t>
    </rPh>
    <rPh sb="2" eb="5">
      <t>カニュウズ</t>
    </rPh>
    <rPh sb="6" eb="8">
      <t>ソンガイ</t>
    </rPh>
    <rPh sb="8" eb="10">
      <t>ホケン</t>
    </rPh>
    <rPh sb="11" eb="13">
      <t>シハラ</t>
    </rPh>
    <rPh sb="14" eb="16">
      <t>ミコ</t>
    </rPh>
    <rPh sb="16" eb="17">
      <t>ガク</t>
    </rPh>
    <rPh sb="18" eb="20">
      <t>セイリ</t>
    </rPh>
    <phoneticPr fontId="1"/>
  </si>
  <si>
    <t>種　　類</t>
    <rPh sb="0" eb="1">
      <t>タネ</t>
    </rPh>
    <rPh sb="3" eb="4">
      <t>タグイ</t>
    </rPh>
    <phoneticPr fontId="1"/>
  </si>
  <si>
    <t>被災者支援の手順行動</t>
  </si>
  <si>
    <t>現在の金額（千円）</t>
    <rPh sb="0" eb="2">
      <t>ゲンザイ</t>
    </rPh>
    <phoneticPr fontId="1"/>
  </si>
  <si>
    <t>消耗部品・定期交換部品</t>
    <rPh sb="0" eb="2">
      <t>ショウモウ</t>
    </rPh>
    <rPh sb="2" eb="4">
      <t>ブヒン</t>
    </rPh>
    <rPh sb="5" eb="9">
      <t>テイキコウカン</t>
    </rPh>
    <rPh sb="9" eb="11">
      <t>ブヒン</t>
    </rPh>
    <phoneticPr fontId="1"/>
  </si>
  <si>
    <t>保守パーツ（交換可能重要部品）</t>
    <rPh sb="0" eb="2">
      <t>ホシュ</t>
    </rPh>
    <rPh sb="6" eb="10">
      <t>コウカンカノウ</t>
    </rPh>
    <rPh sb="10" eb="14">
      <t>ジュウヨウブヒン</t>
    </rPh>
    <phoneticPr fontId="1"/>
  </si>
  <si>
    <t>支援先企業の一部借用</t>
    <rPh sb="0" eb="5">
      <t>シエンサキキギョウ</t>
    </rPh>
    <rPh sb="6" eb="8">
      <t>イチブ</t>
    </rPh>
    <rPh sb="8" eb="10">
      <t>シャクヨウ</t>
    </rPh>
    <phoneticPr fontId="1"/>
  </si>
  <si>
    <t>事前対策（様式１２）実施状況</t>
  </si>
  <si>
    <t>　※製造業を想定したサンプルなので、自社の実情に合わせて、報告項目を検討してください。</t>
    <rPh sb="2" eb="5">
      <t>セイゾウギョウ</t>
    </rPh>
    <rPh sb="6" eb="8">
      <t>ソウテイ</t>
    </rPh>
    <rPh sb="18" eb="20">
      <t>ジシャ</t>
    </rPh>
    <rPh sb="21" eb="23">
      <t>ジツジョウ</t>
    </rPh>
    <rPh sb="24" eb="25">
      <t>ア</t>
    </rPh>
    <rPh sb="29" eb="31">
      <t>ホウコク</t>
    </rPh>
    <rPh sb="31" eb="33">
      <t>コウモク</t>
    </rPh>
    <rPh sb="34" eb="36">
      <t>ケントウ</t>
    </rPh>
    <phoneticPr fontId="1"/>
  </si>
  <si>
    <t>復旧可能範囲</t>
    <rPh sb="0" eb="2">
      <t>フッキュウ</t>
    </rPh>
    <rPh sb="2" eb="6">
      <t>カノウハンイ</t>
    </rPh>
    <phoneticPr fontId="1"/>
  </si>
  <si>
    <t>入手方法</t>
  </si>
  <si>
    <t>事務所全焼</t>
    <rPh sb="0" eb="2">
      <t>ジム</t>
    </rPh>
    <rPh sb="2" eb="3">
      <t>ショ</t>
    </rPh>
    <rPh sb="3" eb="5">
      <t>ゼンショウ</t>
    </rPh>
    <phoneticPr fontId="1"/>
  </si>
  <si>
    <t>復旧体制</t>
    <rPh sb="0" eb="2">
      <t>フッキュウ</t>
    </rPh>
    <rPh sb="2" eb="4">
      <t>タイセイ</t>
    </rPh>
    <phoneticPr fontId="1"/>
  </si>
  <si>
    <t>※安否確認の良しあしが、業務再開時期を決めるので、正確に、早く確認できる方法をが重要。
　安否確認システムが優れているが、Lineなど、コミュニケーションツールの利用も有効。</t>
    <rPh sb="1" eb="5">
      <t>アンピカクニン</t>
    </rPh>
    <rPh sb="6" eb="7">
      <t>ヨ</t>
    </rPh>
    <rPh sb="12" eb="18">
      <t>ギョウムサイカイジキ</t>
    </rPh>
    <rPh sb="19" eb="20">
      <t>キ</t>
    </rPh>
    <rPh sb="25" eb="27">
      <t>セイカク</t>
    </rPh>
    <rPh sb="29" eb="30">
      <t>ハヤ</t>
    </rPh>
    <rPh sb="31" eb="33">
      <t>カクニン</t>
    </rPh>
    <rPh sb="36" eb="38">
      <t>ホウホウ</t>
    </rPh>
    <rPh sb="40" eb="42">
      <t>ジュウヨウ</t>
    </rPh>
    <rPh sb="45" eb="49">
      <t>アンピカクニン</t>
    </rPh>
    <rPh sb="54" eb="55">
      <t>スグ</t>
    </rPh>
    <rPh sb="81" eb="83">
      <t>リヨウ</t>
    </rPh>
    <rPh sb="84" eb="86">
      <t>ユウコウ</t>
    </rPh>
    <phoneticPr fontId="1"/>
  </si>
  <si>
    <t>対策本部立ち上げ</t>
    <rPh sb="0" eb="5">
      <t>タイサクホンブタ</t>
    </rPh>
    <rPh sb="6" eb="7">
      <t>ア</t>
    </rPh>
    <phoneticPr fontId="1"/>
  </si>
  <si>
    <t>主な備え事項</t>
    <rPh sb="0" eb="1">
      <t>オモ</t>
    </rPh>
    <rPh sb="2" eb="3">
      <t>ソナ</t>
    </rPh>
    <rPh sb="4" eb="6">
      <t>ジコウ</t>
    </rPh>
    <phoneticPr fontId="1"/>
  </si>
  <si>
    <t>甚大
（代替・連携戦略）</t>
    <rPh sb="0" eb="2">
      <t>ジンダイ</t>
    </rPh>
    <rPh sb="4" eb="6">
      <t>ダイガエ</t>
    </rPh>
    <rPh sb="7" eb="9">
      <t>レンケイ</t>
    </rPh>
    <rPh sb="9" eb="11">
      <t>センリャク</t>
    </rPh>
    <phoneticPr fontId="1"/>
  </si>
  <si>
    <t>生産関係</t>
    <rPh sb="0" eb="4">
      <t>セイサンカンケイ</t>
    </rPh>
    <phoneticPr fontId="1"/>
  </si>
  <si>
    <t>巨大地震注意</t>
    <rPh sb="0" eb="2">
      <t>キョダイ</t>
    </rPh>
    <rPh sb="2" eb="4">
      <t>ジシン</t>
    </rPh>
    <rPh sb="4" eb="6">
      <t>チュウイ</t>
    </rPh>
    <phoneticPr fontId="1"/>
  </si>
  <si>
    <t>金利上昇</t>
    <rPh sb="0" eb="2">
      <t>キンリ</t>
    </rPh>
    <rPh sb="2" eb="4">
      <t>ジョウショウ</t>
    </rPh>
    <phoneticPr fontId="1"/>
  </si>
  <si>
    <t>壊滅
（新たな稼ぐ手段構築）</t>
    <rPh sb="0" eb="2">
      <t>カイメツ</t>
    </rPh>
    <rPh sb="4" eb="5">
      <t>アラ</t>
    </rPh>
    <rPh sb="7" eb="8">
      <t>カセ</t>
    </rPh>
    <rPh sb="9" eb="11">
      <t>シュダン</t>
    </rPh>
    <rPh sb="11" eb="13">
      <t>コウチク</t>
    </rPh>
    <phoneticPr fontId="1"/>
  </si>
  <si>
    <t>自社経営資源への影響度</t>
    <rPh sb="0" eb="2">
      <t>ジシャ</t>
    </rPh>
    <rPh sb="2" eb="6">
      <t>ケイエイシゲン</t>
    </rPh>
    <rPh sb="8" eb="11">
      <t>エイキョウド</t>
    </rPh>
    <phoneticPr fontId="1"/>
  </si>
  <si>
    <t>【演習・訓練計画】</t>
    <rPh sb="1" eb="3">
      <t>エンシュウ</t>
    </rPh>
    <rPh sb="4" eb="8">
      <t>クンレンケイカク</t>
    </rPh>
    <phoneticPr fontId="1"/>
  </si>
  <si>
    <t>経営判断の
目標時期</t>
    <rPh sb="8" eb="10">
      <t>ジキ</t>
    </rPh>
    <phoneticPr fontId="1"/>
  </si>
  <si>
    <t>極大</t>
    <rPh sb="0" eb="2">
      <t>キョクダイ</t>
    </rPh>
    <phoneticPr fontId="1"/>
  </si>
  <si>
    <t>個別訓練計画用紙の項目案</t>
    <rPh sb="0" eb="6">
      <t>コベツクンレンケイカク</t>
    </rPh>
    <rPh sb="6" eb="8">
      <t>ヨウシ</t>
    </rPh>
    <rPh sb="9" eb="11">
      <t>コウモク</t>
    </rPh>
    <rPh sb="11" eb="12">
      <t>アン</t>
    </rPh>
    <phoneticPr fontId="1"/>
  </si>
  <si>
    <t>必要時間</t>
    <rPh sb="0" eb="4">
      <t>ヒツヨウジカン</t>
    </rPh>
    <phoneticPr fontId="1"/>
  </si>
  <si>
    <t>実施担当者</t>
    <rPh sb="0" eb="2">
      <t>ジッシ</t>
    </rPh>
    <rPh sb="2" eb="5">
      <t>タントウシャ</t>
    </rPh>
    <phoneticPr fontId="1"/>
  </si>
  <si>
    <t>対策本部メンバー</t>
    <rPh sb="0" eb="4">
      <t>タイサクホンブ</t>
    </rPh>
    <phoneticPr fontId="1"/>
  </si>
  <si>
    <t>訓練タイトル</t>
    <rPh sb="0" eb="2">
      <t>クンレン</t>
    </rPh>
    <phoneticPr fontId="1"/>
  </si>
  <si>
    <t>Ｂ銀行</t>
  </si>
  <si>
    <t>【参考様式３】緊急時の対応体制</t>
    <rPh sb="1" eb="3">
      <t>サンコウ</t>
    </rPh>
    <phoneticPr fontId="1"/>
  </si>
  <si>
    <t>近隣顧客には被災している企業も存在</t>
    <rPh sb="0" eb="4">
      <t>キンリンコキャク</t>
    </rPh>
    <rPh sb="6" eb="8">
      <t>ヒサイ</t>
    </rPh>
    <rPh sb="12" eb="14">
      <t>キギョウ</t>
    </rPh>
    <rPh sb="15" eb="17">
      <t>ソンザイ</t>
    </rPh>
    <phoneticPr fontId="1"/>
  </si>
  <si>
    <t>終了後（アンケート集計・報告、反省会など）</t>
    <rPh sb="0" eb="3">
      <t>シュウリョウゴ</t>
    </rPh>
    <rPh sb="9" eb="11">
      <t>シュウケイ</t>
    </rPh>
    <rPh sb="12" eb="14">
      <t>ホウコク</t>
    </rPh>
    <rPh sb="15" eb="18">
      <t>ハンセイカイ</t>
    </rPh>
    <phoneticPr fontId="1"/>
  </si>
  <si>
    <t>【教育計画】</t>
    <rPh sb="1" eb="5">
      <t>キョウイクケイカク</t>
    </rPh>
    <phoneticPr fontId="1"/>
  </si>
  <si>
    <t>第３版様式１０ｋ</t>
  </si>
  <si>
    <t>施設　</t>
    <rPh sb="0" eb="2">
      <t>デンキ</t>
    </rPh>
    <phoneticPr fontId="1"/>
  </si>
  <si>
    <t>〇</t>
  </si>
  <si>
    <t>事業中断損失</t>
    <rPh sb="0" eb="4">
      <t>ジギョウチュウダン</t>
    </rPh>
    <rPh sb="4" eb="6">
      <t>ソンシツ</t>
    </rPh>
    <phoneticPr fontId="1"/>
  </si>
  <si>
    <t>担当７</t>
    <rPh sb="0" eb="2">
      <t>タントウ</t>
    </rPh>
    <phoneticPr fontId="1"/>
  </si>
  <si>
    <t>担当者（複数）</t>
  </si>
  <si>
    <t>半日前</t>
    <rPh sb="0" eb="3">
      <t>ハンニチマエ</t>
    </rPh>
    <phoneticPr fontId="1"/>
  </si>
  <si>
    <t>BCM推進担当</t>
    <rPh sb="3" eb="5">
      <t>スイシン</t>
    </rPh>
    <rPh sb="5" eb="7">
      <t>タントウ</t>
    </rPh>
    <phoneticPr fontId="1"/>
  </si>
  <si>
    <t>広範囲</t>
    <rPh sb="0" eb="3">
      <t>コウハンイ</t>
    </rPh>
    <phoneticPr fontId="1"/>
  </si>
  <si>
    <t>対策本部担当</t>
    <rPh sb="0" eb="4">
      <t>タイサクホンブ</t>
    </rPh>
    <rPh sb="4" eb="6">
      <t>タントウ</t>
    </rPh>
    <phoneticPr fontId="1"/>
  </si>
  <si>
    <t>システム担当</t>
    <rPh sb="4" eb="6">
      <t>タントウ</t>
    </rPh>
    <phoneticPr fontId="1"/>
  </si>
  <si>
    <t>1か月後</t>
  </si>
  <si>
    <t>･様式13､14
･様式6</t>
    <rPh sb="1" eb="3">
      <t>ヨウシキ</t>
    </rPh>
    <rPh sb="10" eb="12">
      <t>ヨウシキ</t>
    </rPh>
    <phoneticPr fontId="1"/>
  </si>
  <si>
    <t>顧客担当</t>
    <rPh sb="0" eb="4">
      <t>コキャクタントウ</t>
    </rPh>
    <phoneticPr fontId="1"/>
  </si>
  <si>
    <t>調達関係</t>
    <rPh sb="0" eb="4">
      <t>チョウタツカンケイ</t>
    </rPh>
    <phoneticPr fontId="1"/>
  </si>
  <si>
    <t>避難誘導</t>
    <rPh sb="0" eb="2">
      <t>ヒナン</t>
    </rPh>
    <rPh sb="2" eb="4">
      <t>ユウドウ</t>
    </rPh>
    <phoneticPr fontId="1"/>
  </si>
  <si>
    <t>救出・救護</t>
    <rPh sb="0" eb="2">
      <t>キュウシュツ</t>
    </rPh>
    <rPh sb="3" eb="5">
      <t>キュウゴ</t>
    </rPh>
    <phoneticPr fontId="1"/>
  </si>
  <si>
    <t>人命や設備の被害軽減につながる項目については完了できている</t>
    <rPh sb="0" eb="2">
      <t>ジンメイ</t>
    </rPh>
    <rPh sb="3" eb="5">
      <t>セツビ</t>
    </rPh>
    <rPh sb="6" eb="8">
      <t>ヒガイ</t>
    </rPh>
    <rPh sb="8" eb="10">
      <t>ケイゲン</t>
    </rPh>
    <rPh sb="15" eb="17">
      <t>コウモク</t>
    </rPh>
    <rPh sb="22" eb="24">
      <t>カンリョウ</t>
    </rPh>
    <phoneticPr fontId="1"/>
  </si>
  <si>
    <t>消火</t>
    <rPh sb="0" eb="2">
      <t>ショウカ</t>
    </rPh>
    <phoneticPr fontId="1"/>
  </si>
  <si>
    <t>事前対策１</t>
    <rPh sb="0" eb="4">
      <t>ジゼンタイサク</t>
    </rPh>
    <phoneticPr fontId="1"/>
  </si>
  <si>
    <t>事前対策２</t>
    <rPh sb="0" eb="4">
      <t>ジゼンタイサク</t>
    </rPh>
    <phoneticPr fontId="1"/>
  </si>
  <si>
    <t>検討のポイント</t>
    <rPh sb="0" eb="2">
      <t>ケントウ</t>
    </rPh>
    <phoneticPr fontId="1"/>
  </si>
  <si>
    <t>役割分担表</t>
    <rPh sb="0" eb="2">
      <t>ヤクワリ</t>
    </rPh>
    <rPh sb="2" eb="4">
      <t>ブンタン</t>
    </rPh>
    <rPh sb="4" eb="5">
      <t>ヒョウ</t>
    </rPh>
    <phoneticPr fontId="1"/>
  </si>
  <si>
    <t>様式７の被害状況確認に従い、重要業務再開のための具体的な実施計画を作成する</t>
    <rPh sb="0" eb="2">
      <t>ヨウシキ</t>
    </rPh>
    <rPh sb="4" eb="10">
      <t>ヒガイジョウキョウカクニン</t>
    </rPh>
    <rPh sb="11" eb="12">
      <t>シタガ</t>
    </rPh>
    <rPh sb="14" eb="18">
      <t>ジュウヨウギョウム</t>
    </rPh>
    <rPh sb="18" eb="20">
      <t>サイカイ</t>
    </rPh>
    <rPh sb="24" eb="27">
      <t>グタイテキ</t>
    </rPh>
    <rPh sb="28" eb="30">
      <t>ジッシ</t>
    </rPh>
    <rPh sb="30" eb="32">
      <t>ケイカク</t>
    </rPh>
    <rPh sb="33" eb="35">
      <t>サクセイ</t>
    </rPh>
    <phoneticPr fontId="1"/>
  </si>
  <si>
    <t>支援企業</t>
    <rPh sb="0" eb="2">
      <t>シエン</t>
    </rPh>
    <rPh sb="2" eb="4">
      <t>キギョウ</t>
    </rPh>
    <phoneticPr fontId="1"/>
  </si>
  <si>
    <t>優先再開業務目標再開時期＆操業度</t>
    <rPh sb="0" eb="6">
      <t>ユウセンサイカイギョウム</t>
    </rPh>
    <rPh sb="6" eb="8">
      <t>モクヒョウ</t>
    </rPh>
    <rPh sb="8" eb="12">
      <t>サイカイジキ</t>
    </rPh>
    <rPh sb="13" eb="16">
      <t>ソウギョウド</t>
    </rPh>
    <phoneticPr fontId="1"/>
  </si>
  <si>
    <t>脅威一覧表と業務及び自社経営資源への影響</t>
    <rPh sb="0" eb="2">
      <t>キョウイ</t>
    </rPh>
    <rPh sb="2" eb="5">
      <t>イチランヒョウ</t>
    </rPh>
    <rPh sb="6" eb="9">
      <t>ギョウムオヨ</t>
    </rPh>
    <rPh sb="10" eb="16">
      <t>ジシャケイエイシゲン</t>
    </rPh>
    <rPh sb="18" eb="20">
      <t>エイキョウ</t>
    </rPh>
    <phoneticPr fontId="1"/>
  </si>
  <si>
    <t>被災状況の把握</t>
    <rPh sb="0" eb="4">
      <t>ヒサイジョウキョウ</t>
    </rPh>
    <rPh sb="5" eb="7">
      <t>ハアク</t>
    </rPh>
    <phoneticPr fontId="1"/>
  </si>
  <si>
    <t>復旧復興資金と事前対策資金の確保</t>
    <rPh sb="0" eb="6">
      <t>フッキュウフッコウシキン</t>
    </rPh>
    <rPh sb="7" eb="13">
      <t>ジゼンタイサクシキン</t>
    </rPh>
    <rPh sb="14" eb="16">
      <t>カクホ</t>
    </rPh>
    <phoneticPr fontId="1"/>
  </si>
  <si>
    <t>優先再開業務の再開計画策定</t>
    <rPh sb="0" eb="2">
      <t>ユウセン</t>
    </rPh>
    <rPh sb="2" eb="6">
      <t>サイカイギョウム</t>
    </rPh>
    <rPh sb="7" eb="11">
      <t>サイカイケイカク</t>
    </rPh>
    <rPh sb="11" eb="13">
      <t>サクテイ</t>
    </rPh>
    <phoneticPr fontId="1"/>
  </si>
  <si>
    <t>様式２　事業継続戦略（事業継続の方向性）</t>
    <rPh sb="0" eb="2">
      <t>ヨウシキ</t>
    </rPh>
    <phoneticPr fontId="1"/>
  </si>
  <si>
    <t>代替・企業連携手段の実施と事前対策</t>
    <rPh sb="0" eb="2">
      <t>ダイガエ</t>
    </rPh>
    <rPh sb="3" eb="7">
      <t>キギョウレンケイ</t>
    </rPh>
    <rPh sb="7" eb="9">
      <t>シュダン</t>
    </rPh>
    <rPh sb="10" eb="12">
      <t>ジッシ</t>
    </rPh>
    <rPh sb="13" eb="17">
      <t>ジゼンタイサク</t>
    </rPh>
    <phoneticPr fontId="1"/>
  </si>
  <si>
    <t>参考様式２</t>
    <rPh sb="0" eb="4">
      <t>サンコウヨウシキ</t>
    </rPh>
    <phoneticPr fontId="1"/>
  </si>
  <si>
    <t>減災および事前対策の実施計画管理表</t>
    <rPh sb="0" eb="2">
      <t>ゲンサイ</t>
    </rPh>
    <rPh sb="5" eb="9">
      <t>ジゼンタイサク</t>
    </rPh>
    <rPh sb="10" eb="14">
      <t>ジッシケイカク</t>
    </rPh>
    <rPh sb="14" eb="17">
      <t>カンリヒョウ</t>
    </rPh>
    <phoneticPr fontId="1"/>
  </si>
  <si>
    <t>社外協力会社支援組織</t>
  </si>
  <si>
    <t>教育計画</t>
    <rPh sb="0" eb="4">
      <t>キョウイクケイカク</t>
    </rPh>
    <phoneticPr fontId="1"/>
  </si>
  <si>
    <t>出典：NPO法人事業継続推進機構「中小企業BCPステップアップ・ガイド」（4.0版）。一部修正</t>
    <rPh sb="0" eb="2">
      <t>シュッテン</t>
    </rPh>
    <rPh sb="6" eb="8">
      <t>ホウジン</t>
    </rPh>
    <rPh sb="8" eb="12">
      <t>ジギョウケイゾク</t>
    </rPh>
    <rPh sb="12" eb="16">
      <t>スイシンキコウ</t>
    </rPh>
    <rPh sb="17" eb="21">
      <t>チュウショウキギョウ</t>
    </rPh>
    <rPh sb="40" eb="41">
      <t>バン</t>
    </rPh>
    <rPh sb="43" eb="45">
      <t>イチブ</t>
    </rPh>
    <rPh sb="45" eb="47">
      <t>シュウセイ</t>
    </rPh>
    <phoneticPr fontId="1"/>
  </si>
  <si>
    <r>
      <t>　　</t>
    </r>
    <r>
      <rPr>
        <b/>
        <sz val="11"/>
        <color auto="1"/>
        <rFont val="ＭＳ Ｐゴシック"/>
      </rPr>
      <t>以下は、</t>
    </r>
    <r>
      <rPr>
        <b/>
        <u val="double"/>
        <sz val="11"/>
        <color auto="1"/>
        <rFont val="ＭＳ Ｐゴシック"/>
      </rPr>
      <t>従業員の皆さまの立場で</t>
    </r>
    <r>
      <rPr>
        <b/>
        <sz val="11"/>
        <color auto="1"/>
        <rFont val="ＭＳ Ｐゴシック"/>
      </rPr>
      <t>、家庭における災害の事前対策（準備）と発災後の事後対応を時間軸で検討する項目の一例です。</t>
    </r>
    <rPh sb="2" eb="4">
      <t>イカ</t>
    </rPh>
    <rPh sb="6" eb="9">
      <t>ジュウギョウイン</t>
    </rPh>
    <rPh sb="10" eb="11">
      <t>ミナ</t>
    </rPh>
    <rPh sb="14" eb="16">
      <t>タチバ</t>
    </rPh>
    <rPh sb="18" eb="20">
      <t>カテイ</t>
    </rPh>
    <rPh sb="24" eb="26">
      <t>サイガイ</t>
    </rPh>
    <rPh sb="27" eb="31">
      <t>ジゼンタイサク</t>
    </rPh>
    <rPh sb="32" eb="34">
      <t>ジュンビ</t>
    </rPh>
    <rPh sb="36" eb="39">
      <t>ハッサイゴ</t>
    </rPh>
    <rPh sb="40" eb="44">
      <t>ジゴタイオウ</t>
    </rPh>
    <rPh sb="45" eb="48">
      <t>ジカンジク</t>
    </rPh>
    <rPh sb="49" eb="51">
      <t>ケントウ</t>
    </rPh>
    <rPh sb="53" eb="55">
      <t>コウモク</t>
    </rPh>
    <rPh sb="56" eb="58">
      <t>イチレイ</t>
    </rPh>
    <phoneticPr fontId="1"/>
  </si>
  <si>
    <t>採算悪化（赤字化）</t>
    <rPh sb="0" eb="2">
      <t>サイサン</t>
    </rPh>
    <rPh sb="2" eb="4">
      <t>アッカ</t>
    </rPh>
    <rPh sb="5" eb="8">
      <t>アカジカ</t>
    </rPh>
    <phoneticPr fontId="1"/>
  </si>
  <si>
    <t>住所</t>
    <rPh sb="0" eb="2">
      <t>ジュウショ</t>
    </rPh>
    <phoneticPr fontId="1"/>
  </si>
  <si>
    <t>本人との
続柄</t>
    <rPh sb="0" eb="2">
      <t>ホンニン</t>
    </rPh>
    <rPh sb="5" eb="7">
      <t>ゾクガラ</t>
    </rPh>
    <phoneticPr fontId="1"/>
  </si>
  <si>
    <t>売上激減</t>
    <rPh sb="0" eb="2">
      <t>ウリアゲ</t>
    </rPh>
    <rPh sb="2" eb="4">
      <t>ゲキゲン</t>
    </rPh>
    <phoneticPr fontId="1"/>
  </si>
  <si>
    <t>連絡相手方名</t>
  </si>
  <si>
    <t>連絡
重要度</t>
  </si>
  <si>
    <t>連絡先担当者</t>
  </si>
  <si>
    <t>連絡方法</t>
  </si>
  <si>
    <t>当社○○事業所</t>
  </si>
  <si>
    <t>電話、携帯電話、ＦＡＸ、電子メール、携帯メール　</t>
  </si>
  <si>
    <t>Ｃ商工会議所</t>
    <rPh sb="3" eb="5">
      <t>カイギ</t>
    </rPh>
    <rPh sb="5" eb="6">
      <t>ショ</t>
    </rPh>
    <phoneticPr fontId="1"/>
  </si>
  <si>
    <t>Ｄ電力</t>
  </si>
  <si>
    <t>・・・</t>
  </si>
  <si>
    <t>巨大地震</t>
  </si>
  <si>
    <t>品名</t>
  </si>
  <si>
    <t>個数</t>
  </si>
  <si>
    <t>管理責任者</t>
  </si>
  <si>
    <t>　賠償損害保険</t>
    <rPh sb="1" eb="3">
      <t>バイショウ</t>
    </rPh>
    <rPh sb="3" eb="5">
      <t>ソンガイ</t>
    </rPh>
    <rPh sb="5" eb="7">
      <t>ホケン</t>
    </rPh>
    <phoneticPr fontId="1"/>
  </si>
  <si>
    <t>出典：NPO法人事業継続推進機構「中小企業BCPステップアップ・ガイド」(4.0版)1-19ページ。一部修正</t>
    <rPh sb="50" eb="52">
      <t>イチブ</t>
    </rPh>
    <rPh sb="52" eb="54">
      <t>シュウセイ</t>
    </rPh>
    <phoneticPr fontId="1"/>
  </si>
  <si>
    <t>従業員への伝達方法</t>
  </si>
  <si>
    <t>就業時間中</t>
  </si>
  <si>
    <t>(例)　命のパスポート（静岡県）</t>
    <rPh sb="12" eb="15">
      <t>シズオカケン</t>
    </rPh>
    <phoneticPr fontId="1"/>
  </si>
  <si>
    <t>製造担当メンバーの多数が出社不可</t>
  </si>
  <si>
    <t>夜間・休日</t>
  </si>
  <si>
    <t>第３版様式10ａ</t>
  </si>
  <si>
    <t>注　次のような観点で対応を検討します。</t>
  </si>
  <si>
    <t>時間軸</t>
    <rPh sb="0" eb="3">
      <t>ジカンジク</t>
    </rPh>
    <phoneticPr fontId="1"/>
  </si>
  <si>
    <t>①南海トラフ地震に関連する臨時情報の入手・伝達方法</t>
  </si>
  <si>
    <t>②南海トラフ地震に関連する臨時情報発表時の対応</t>
  </si>
  <si>
    <t>新規配属時</t>
  </si>
  <si>
    <t>注：静岡県危機管理部危機情報課「命のパスポート」</t>
  </si>
  <si>
    <t>現金・預金</t>
    <rPh sb="0" eb="2">
      <t>ゲンキン</t>
    </rPh>
    <rPh sb="3" eb="5">
      <t>ヨキン</t>
    </rPh>
    <phoneticPr fontId="1"/>
  </si>
  <si>
    <t>百万円</t>
    <rPh sb="0" eb="3">
      <t>ヒャクマンエン</t>
    </rPh>
    <phoneticPr fontId="1"/>
  </si>
  <si>
    <t>応急対策や当面の運転資金として売上高１ヵ月分の保有が望ましい。</t>
    <rPh sb="0" eb="4">
      <t>オウキュウタイサク</t>
    </rPh>
    <rPh sb="5" eb="7">
      <t>トウメン</t>
    </rPh>
    <rPh sb="8" eb="12">
      <t>ウンテンシキン</t>
    </rPh>
    <rPh sb="15" eb="18">
      <t>ウリアゲダカ</t>
    </rPh>
    <rPh sb="20" eb="22">
      <t>ゲツブン</t>
    </rPh>
    <rPh sb="23" eb="25">
      <t>ホユウ</t>
    </rPh>
    <rPh sb="26" eb="27">
      <t>ノゾ</t>
    </rPh>
    <phoneticPr fontId="1"/>
  </si>
  <si>
    <t>損害保険</t>
    <rPh sb="0" eb="4">
      <t>ソンガイホケン</t>
    </rPh>
    <phoneticPr fontId="1"/>
  </si>
  <si>
    <t>損害保険の加入対象をチェック
□火災　□水害　□地震　□事業中断</t>
    <rPh sb="0" eb="2">
      <t>ソンガイ</t>
    </rPh>
    <rPh sb="2" eb="4">
      <t>ホケン</t>
    </rPh>
    <rPh sb="5" eb="9">
      <t>カニュウタイショウ</t>
    </rPh>
    <rPh sb="16" eb="18">
      <t>カサイ</t>
    </rPh>
    <rPh sb="20" eb="22">
      <t>スイガイ</t>
    </rPh>
    <rPh sb="24" eb="26">
      <t>ジシン</t>
    </rPh>
    <rPh sb="28" eb="32">
      <t>ジギョウチュウダン</t>
    </rPh>
    <phoneticPr fontId="1"/>
  </si>
  <si>
    <t>第３版様式10ｈ</t>
  </si>
  <si>
    <t>会社資産</t>
    <rPh sb="0" eb="4">
      <t>カイシャシサン</t>
    </rPh>
    <phoneticPr fontId="1"/>
  </si>
  <si>
    <t>株券等の売却可能な資産評価額を記入</t>
    <rPh sb="0" eb="3">
      <t>カブケントウ</t>
    </rPh>
    <rPh sb="4" eb="8">
      <t>バイキャクカノウ</t>
    </rPh>
    <rPh sb="9" eb="11">
      <t>シサン</t>
    </rPh>
    <rPh sb="11" eb="14">
      <t>ヒョウカガク</t>
    </rPh>
    <rPh sb="15" eb="17">
      <t>キニュウ</t>
    </rPh>
    <phoneticPr fontId="1"/>
  </si>
  <si>
    <t>②復旧・再調達費用の予測</t>
    <rPh sb="1" eb="3">
      <t>フッキュウ</t>
    </rPh>
    <rPh sb="4" eb="7">
      <t>サイチョウタツ</t>
    </rPh>
    <rPh sb="7" eb="9">
      <t>ヒヨウ</t>
    </rPh>
    <rPh sb="10" eb="12">
      <t>ヨソク</t>
    </rPh>
    <phoneticPr fontId="1"/>
  </si>
  <si>
    <t>液状化で通勤不能者も</t>
    <rPh sb="0" eb="3">
      <t>エキジョウカ</t>
    </rPh>
    <rPh sb="4" eb="6">
      <t>ツウキン</t>
    </rPh>
    <rPh sb="6" eb="9">
      <t>フノウシャ</t>
    </rPh>
    <phoneticPr fontId="1"/>
  </si>
  <si>
    <t>［想定例］　XX地震</t>
    <rPh sb="1" eb="4">
      <t>ソウテイレイ</t>
    </rPh>
    <rPh sb="8" eb="10">
      <t>ジシン</t>
    </rPh>
    <phoneticPr fontId="1"/>
  </si>
  <si>
    <t>本社から～　Ａ部長の自宅から～</t>
  </si>
  <si>
    <t>その他
（　　　　　　　　　　　　　）</t>
    <rPh sb="2" eb="3">
      <t>タ</t>
    </rPh>
    <phoneticPr fontId="1"/>
  </si>
  <si>
    <t>事業所建物</t>
    <rPh sb="0" eb="3">
      <t>ジギョウショ</t>
    </rPh>
    <rPh sb="3" eb="5">
      <t>タテモノ</t>
    </rPh>
    <phoneticPr fontId="1"/>
  </si>
  <si>
    <t>機械・装置</t>
    <rPh sb="0" eb="2">
      <t>キカイ</t>
    </rPh>
    <rPh sb="3" eb="5">
      <t>ソウチ</t>
    </rPh>
    <phoneticPr fontId="1"/>
  </si>
  <si>
    <t>工具・器具・
備品</t>
    <rPh sb="0" eb="2">
      <t>コウグ</t>
    </rPh>
    <rPh sb="3" eb="5">
      <t>キグ</t>
    </rPh>
    <rPh sb="7" eb="9">
      <t>ビヒン</t>
    </rPh>
    <phoneticPr fontId="1"/>
  </si>
  <si>
    <t>棚卸資産</t>
    <rPh sb="0" eb="2">
      <t>タナオロ</t>
    </rPh>
    <rPh sb="2" eb="4">
      <t>シサン</t>
    </rPh>
    <phoneticPr fontId="1"/>
  </si>
  <si>
    <t>災害対策本部を設置する可能性がある脅威/状況</t>
  </si>
  <si>
    <t>（BCP特別保証申請用）</t>
    <rPh sb="4" eb="8">
      <t>トクベツホショウ</t>
    </rPh>
    <rPh sb="8" eb="11">
      <t>シンセイヨウ</t>
    </rPh>
    <phoneticPr fontId="1"/>
  </si>
  <si>
    <t>調査中</t>
    <rPh sb="0" eb="2">
      <t>チョウサ</t>
    </rPh>
    <rPh sb="2" eb="3">
      <t>チュウ</t>
    </rPh>
    <phoneticPr fontId="1"/>
  </si>
  <si>
    <t>当社専用システムのため影響大</t>
    <rPh sb="0" eb="2">
      <t>トウシャ</t>
    </rPh>
    <rPh sb="2" eb="4">
      <t>センヨウ</t>
    </rPh>
    <rPh sb="11" eb="14">
      <t>エイキョウダイ</t>
    </rPh>
    <phoneticPr fontId="1"/>
  </si>
  <si>
    <t>調査情報が出た際の情報収集・伝達の具体的な方法や、注意情報が出た際の自社の準備対応
（情報収集、事業所等での安全対策、警戒時･発災時の対応の確認等）について、具体的に定めます。</t>
    <rPh sb="0" eb="2">
      <t>チョウサ</t>
    </rPh>
    <phoneticPr fontId="1"/>
  </si>
  <si>
    <t>・緊急時の連絡方法、体制などの再確認</t>
    <rPh sb="1" eb="4">
      <t>キンキュウジ</t>
    </rPh>
    <rPh sb="5" eb="7">
      <t>レンラク</t>
    </rPh>
    <rPh sb="7" eb="9">
      <t>ホウホウ</t>
    </rPh>
    <rPh sb="10" eb="12">
      <t>タイセイ</t>
    </rPh>
    <rPh sb="15" eb="18">
      <t>サイカクニン</t>
    </rPh>
    <phoneticPr fontId="1"/>
  </si>
  <si>
    <t>・地震発生時の安全確保や避難誘導、避難場所などを従業員・顧客含め体制・手順の再確認</t>
    <rPh sb="1" eb="3">
      <t>ジシン</t>
    </rPh>
    <rPh sb="3" eb="6">
      <t>ハッセイジ</t>
    </rPh>
    <rPh sb="7" eb="11">
      <t>アンゼンカクホ</t>
    </rPh>
    <rPh sb="12" eb="14">
      <t>ヒナン</t>
    </rPh>
    <rPh sb="14" eb="16">
      <t>ユウドウ</t>
    </rPh>
    <rPh sb="17" eb="21">
      <t>ヒナンバショ</t>
    </rPh>
    <rPh sb="24" eb="27">
      <t>ジュウギョウイン</t>
    </rPh>
    <rPh sb="28" eb="30">
      <t>コキャク</t>
    </rPh>
    <rPh sb="30" eb="31">
      <t>フク</t>
    </rPh>
    <rPh sb="32" eb="34">
      <t>タイセイ</t>
    </rPh>
    <rPh sb="35" eb="37">
      <t>テジュン</t>
    </rPh>
    <rPh sb="38" eb="41">
      <t>サイカクニン</t>
    </rPh>
    <phoneticPr fontId="1"/>
  </si>
  <si>
    <t>注　復旧・再調達費用（計）が手元資金（計）を上回っていれば</t>
  </si>
  <si>
    <t xml:space="preserve">減災対応実施計画
重要設備等の保守・点検技術の強化・育成計画
代替メンバー育成計画
サービス会社一覧整備計画
</t>
    <rPh sb="0" eb="4">
      <t>ゲンサイタイオウ</t>
    </rPh>
    <rPh sb="4" eb="6">
      <t>ジッシ</t>
    </rPh>
    <rPh sb="6" eb="8">
      <t>ケイカク</t>
    </rPh>
    <rPh sb="9" eb="11">
      <t>ジュウヨウ</t>
    </rPh>
    <rPh sb="11" eb="14">
      <t>セツビトウ</t>
    </rPh>
    <rPh sb="15" eb="17">
      <t>ホシュ</t>
    </rPh>
    <rPh sb="18" eb="20">
      <t>テンケン</t>
    </rPh>
    <rPh sb="20" eb="22">
      <t>ギジュツ</t>
    </rPh>
    <rPh sb="23" eb="25">
      <t>キョウカ</t>
    </rPh>
    <rPh sb="26" eb="28">
      <t>イクセイ</t>
    </rPh>
    <rPh sb="28" eb="30">
      <t>ケイカク</t>
    </rPh>
    <rPh sb="31" eb="33">
      <t>ダイガエ</t>
    </rPh>
    <rPh sb="37" eb="41">
      <t>イクセイケイカク</t>
    </rPh>
    <rPh sb="46" eb="48">
      <t>ガイシャ</t>
    </rPh>
    <rPh sb="48" eb="52">
      <t>イチランセイビ</t>
    </rPh>
    <rPh sb="52" eb="54">
      <t>ケイカク</t>
    </rPh>
    <phoneticPr fontId="1"/>
  </si>
  <si>
    <t>社内機器は浸水被害なし</t>
    <rPh sb="0" eb="2">
      <t>シャナイ</t>
    </rPh>
    <rPh sb="2" eb="4">
      <t>キキ</t>
    </rPh>
    <rPh sb="5" eb="7">
      <t>シンスイ</t>
    </rPh>
    <rPh sb="7" eb="9">
      <t>ヒガイ</t>
    </rPh>
    <phoneticPr fontId="1"/>
  </si>
  <si>
    <t>銀行融資</t>
    <rPh sb="0" eb="2">
      <t>ギンコウ</t>
    </rPh>
    <rPh sb="2" eb="4">
      <t>ユウシ</t>
    </rPh>
    <phoneticPr fontId="1"/>
  </si>
  <si>
    <t>安否確認の方法・手順</t>
  </si>
  <si>
    <t>対象事象</t>
    <rPh sb="0" eb="2">
      <t>タイショウ</t>
    </rPh>
    <rPh sb="2" eb="4">
      <t>ジショウ</t>
    </rPh>
    <phoneticPr fontId="1"/>
  </si>
  <si>
    <t>3，4日前</t>
  </si>
  <si>
    <t>その他備え準備</t>
    <rPh sb="2" eb="3">
      <t>タ</t>
    </rPh>
    <rPh sb="3" eb="4">
      <t>ソナ</t>
    </rPh>
    <rPh sb="5" eb="7">
      <t>ジュンビ</t>
    </rPh>
    <phoneticPr fontId="1"/>
  </si>
  <si>
    <t>1日前</t>
    <rPh sb="1" eb="3">
      <t>ニチマエ</t>
    </rPh>
    <phoneticPr fontId="1"/>
  </si>
  <si>
    <t>後処理</t>
    <rPh sb="0" eb="3">
      <t>アトショリ</t>
    </rPh>
    <phoneticPr fontId="1"/>
  </si>
  <si>
    <t>　XX銀行</t>
    <rPh sb="3" eb="5">
      <t>ギンコウ</t>
    </rPh>
    <phoneticPr fontId="1"/>
  </si>
  <si>
    <t>　YY信用金庫</t>
    <rPh sb="3" eb="7">
      <t>シンヨウキンコ</t>
    </rPh>
    <phoneticPr fontId="1"/>
  </si>
  <si>
    <t>富士山噴火</t>
    <rPh sb="0" eb="5">
      <t>フジサンフンカ</t>
    </rPh>
    <phoneticPr fontId="1"/>
  </si>
  <si>
    <t>１．優先再開業務（重要業務）の選定</t>
    <rPh sb="2" eb="4">
      <t>ユウセン</t>
    </rPh>
    <rPh sb="4" eb="6">
      <t>サイカイ</t>
    </rPh>
    <rPh sb="6" eb="8">
      <t>ギョウム</t>
    </rPh>
    <rPh sb="9" eb="11">
      <t>ジュウヨウ</t>
    </rPh>
    <rPh sb="11" eb="13">
      <t>ギョウム</t>
    </rPh>
    <rPh sb="15" eb="17">
      <t>センテイ</t>
    </rPh>
    <phoneticPr fontId="39"/>
  </si>
  <si>
    <t>業務内容</t>
    <rPh sb="0" eb="2">
      <t>ギョウム</t>
    </rPh>
    <rPh sb="2" eb="4">
      <t>ナイヨウ</t>
    </rPh>
    <phoneticPr fontId="1"/>
  </si>
  <si>
    <t>　・優先復旧したい工作機械であれば、位置ズレの修正、破損個所の点検やパーツの交換など</t>
    <rPh sb="2" eb="6">
      <t>ユウセンフッキュウ</t>
    </rPh>
    <rPh sb="9" eb="13">
      <t>コウサクキカイ</t>
    </rPh>
    <rPh sb="18" eb="20">
      <t>イチ</t>
    </rPh>
    <rPh sb="23" eb="25">
      <t>シュウセイ</t>
    </rPh>
    <rPh sb="26" eb="30">
      <t>ハソンカショ</t>
    </rPh>
    <rPh sb="31" eb="33">
      <t>テンケン</t>
    </rPh>
    <rPh sb="38" eb="40">
      <t>コウカン</t>
    </rPh>
    <phoneticPr fontId="1"/>
  </si>
  <si>
    <t>　・極力業者に頼らず、修復できる技術を計画的に習得する</t>
    <rPh sb="2" eb="4">
      <t>キョクリョク</t>
    </rPh>
    <rPh sb="4" eb="6">
      <t>ギョウシャ</t>
    </rPh>
    <rPh sb="7" eb="8">
      <t>タヨ</t>
    </rPh>
    <rPh sb="11" eb="13">
      <t>シュウフク</t>
    </rPh>
    <rPh sb="16" eb="18">
      <t>ギジュツ</t>
    </rPh>
    <rPh sb="19" eb="21">
      <t>ケイカク</t>
    </rPh>
    <rPh sb="21" eb="22">
      <t>テキ</t>
    </rPh>
    <rPh sb="23" eb="25">
      <t>シュウトク</t>
    </rPh>
    <phoneticPr fontId="1"/>
  </si>
  <si>
    <t>・その資源について現地復旧可能な範囲や内容を明らかにし、当初レベルと将来レベルを決めておく</t>
    <rPh sb="3" eb="5">
      <t>シゲン</t>
    </rPh>
    <rPh sb="9" eb="11">
      <t>ゲンチ</t>
    </rPh>
    <rPh sb="11" eb="15">
      <t>フッキュウカノウ</t>
    </rPh>
    <rPh sb="16" eb="18">
      <t>ハンイ</t>
    </rPh>
    <rPh sb="19" eb="21">
      <t>ナイヨウ</t>
    </rPh>
    <rPh sb="22" eb="23">
      <t>アキ</t>
    </rPh>
    <rPh sb="28" eb="30">
      <t>トウショ</t>
    </rPh>
    <rPh sb="34" eb="36">
      <t>ショウライ</t>
    </rPh>
    <rPh sb="40" eb="41">
      <t>キ</t>
    </rPh>
    <phoneticPr fontId="1"/>
  </si>
  <si>
    <t>・自社で復旧するために必要なメンバーの資格取得や技術習得</t>
    <rPh sb="1" eb="3">
      <t>ジシャ</t>
    </rPh>
    <rPh sb="4" eb="6">
      <t>フッキュウ</t>
    </rPh>
    <rPh sb="19" eb="21">
      <t>シカク</t>
    </rPh>
    <rPh sb="21" eb="23">
      <t>シュトク</t>
    </rPh>
    <rPh sb="24" eb="26">
      <t>ギジュツ</t>
    </rPh>
    <rPh sb="26" eb="28">
      <t>シュウトク</t>
    </rPh>
    <phoneticPr fontId="1"/>
  </si>
  <si>
    <t>・復旧するために必要な、補修部品や補修資材などを用意しておく</t>
    <rPh sb="1" eb="3">
      <t>フッキュウ</t>
    </rPh>
    <rPh sb="8" eb="10">
      <t>ヒツヨウ</t>
    </rPh>
    <rPh sb="12" eb="14">
      <t>ホシュウ</t>
    </rPh>
    <rPh sb="14" eb="16">
      <t>ブヒン</t>
    </rPh>
    <rPh sb="17" eb="21">
      <t>ホシュウシザイ</t>
    </rPh>
    <rPh sb="24" eb="26">
      <t>ヨウイ</t>
    </rPh>
    <phoneticPr fontId="1"/>
  </si>
  <si>
    <t>浸水区域従業員の出社困難</t>
    <rPh sb="0" eb="2">
      <t>シンスイ</t>
    </rPh>
    <rPh sb="2" eb="4">
      <t>クイキ</t>
    </rPh>
    <rPh sb="4" eb="7">
      <t>ジュウギョウイン</t>
    </rPh>
    <rPh sb="8" eb="10">
      <t>シュッシャ</t>
    </rPh>
    <rPh sb="10" eb="12">
      <t>コンナン</t>
    </rPh>
    <phoneticPr fontId="1"/>
  </si>
  <si>
    <t>・実際に修理を行い、手順など習得し、技術向上を進める</t>
    <rPh sb="1" eb="3">
      <t>ジッサイ</t>
    </rPh>
    <rPh sb="4" eb="6">
      <t>シュウリ</t>
    </rPh>
    <rPh sb="7" eb="8">
      <t>オコナ</t>
    </rPh>
    <rPh sb="10" eb="12">
      <t>テジュン</t>
    </rPh>
    <rPh sb="14" eb="16">
      <t>シュウトク</t>
    </rPh>
    <rPh sb="18" eb="22">
      <t>ギジュツコウジョウ</t>
    </rPh>
    <rPh sb="23" eb="24">
      <t>スス</t>
    </rPh>
    <phoneticPr fontId="1"/>
  </si>
  <si>
    <t>目標期限</t>
    <rPh sb="0" eb="2">
      <t>モクヒョウ</t>
    </rPh>
    <rPh sb="2" eb="4">
      <t>キゲン</t>
    </rPh>
    <phoneticPr fontId="1"/>
  </si>
  <si>
    <t>影響</t>
    <rPh sb="0" eb="2">
      <t>エイキョウ</t>
    </rPh>
    <phoneticPr fontId="1"/>
  </si>
  <si>
    <t>範囲</t>
    <rPh sb="0" eb="2">
      <t>ハンイ</t>
    </rPh>
    <phoneticPr fontId="1"/>
  </si>
  <si>
    <t>責任者：　　　　　代理者：　　　　　　担当者：</t>
  </si>
  <si>
    <t>　　　　年　　　月　　　日　　　　</t>
  </si>
  <si>
    <t>作成日　</t>
  </si>
  <si>
    <t>緊急時対策</t>
    <rPh sb="0" eb="3">
      <t>キンキュウジ</t>
    </rPh>
    <rPh sb="3" eb="5">
      <t>タイサク</t>
    </rPh>
    <phoneticPr fontId="1"/>
  </si>
  <si>
    <t>事前準備・対策</t>
    <rPh sb="0" eb="2">
      <t>ジゼン</t>
    </rPh>
    <rPh sb="2" eb="4">
      <t>ジュンビ</t>
    </rPh>
    <rPh sb="5" eb="7">
      <t>タイサク</t>
    </rPh>
    <phoneticPr fontId="1"/>
  </si>
  <si>
    <t>被害想定</t>
    <rPh sb="0" eb="2">
      <t>ヒガイ</t>
    </rPh>
    <rPh sb="2" eb="4">
      <t>ソウテイ</t>
    </rPh>
    <phoneticPr fontId="1"/>
  </si>
  <si>
    <t>再調達・代替策等</t>
    <rPh sb="0" eb="3">
      <t>サイチョウタツ</t>
    </rPh>
    <rPh sb="4" eb="6">
      <t>ダイタイ</t>
    </rPh>
    <rPh sb="7" eb="8">
      <t>ナド</t>
    </rPh>
    <phoneticPr fontId="1"/>
  </si>
  <si>
    <t>死傷者が出た場合の社内情報共有方策</t>
  </si>
  <si>
    <t>　　被　災　状　況　報　告　書</t>
    <rPh sb="2" eb="3">
      <t>ヒ</t>
    </rPh>
    <rPh sb="4" eb="5">
      <t>サイ</t>
    </rPh>
    <rPh sb="6" eb="7">
      <t>ジョウ</t>
    </rPh>
    <rPh sb="8" eb="9">
      <t>キョウ</t>
    </rPh>
    <rPh sb="10" eb="11">
      <t>ホウ</t>
    </rPh>
    <rPh sb="12" eb="13">
      <t>コク</t>
    </rPh>
    <rPh sb="14" eb="15">
      <t>ショ</t>
    </rPh>
    <phoneticPr fontId="1"/>
  </si>
  <si>
    <t>営業部代表</t>
    <rPh sb="0" eb="2">
      <t>エイギョウ</t>
    </rPh>
    <rPh sb="2" eb="3">
      <t>ブ</t>
    </rPh>
    <rPh sb="3" eb="5">
      <t>ダイヒョウ</t>
    </rPh>
    <phoneticPr fontId="1"/>
  </si>
  <si>
    <t>●復旧・復興資金の確保</t>
    <rPh sb="1" eb="3">
      <t>フッキュウ</t>
    </rPh>
    <rPh sb="4" eb="8">
      <t>フッコウシキン</t>
    </rPh>
    <rPh sb="9" eb="11">
      <t>カクホ</t>
    </rPh>
    <phoneticPr fontId="1"/>
  </si>
  <si>
    <t>災害時のインターネット回線確保</t>
    <rPh sb="0" eb="3">
      <t>サイガイジ</t>
    </rPh>
    <rPh sb="11" eb="13">
      <t>カイセン</t>
    </rPh>
    <rPh sb="13" eb="15">
      <t>カクホ</t>
    </rPh>
    <phoneticPr fontId="1"/>
  </si>
  <si>
    <t>【参考様式４】災害対策本部の設置</t>
    <rPh sb="1" eb="3">
      <t>サンコウ</t>
    </rPh>
    <phoneticPr fontId="1"/>
  </si>
  <si>
    <t>　・早期に復旧したい資源については、現地復旧するための技術を習得しておく</t>
    <rPh sb="2" eb="4">
      <t>ソウキ</t>
    </rPh>
    <rPh sb="5" eb="7">
      <t>フッキュウ</t>
    </rPh>
    <rPh sb="10" eb="12">
      <t>シゲン</t>
    </rPh>
    <rPh sb="18" eb="22">
      <t>ゲンチフッキュウ</t>
    </rPh>
    <rPh sb="27" eb="29">
      <t>ギジュツ</t>
    </rPh>
    <rPh sb="30" eb="32">
      <t>シュウトク</t>
    </rPh>
    <phoneticPr fontId="1"/>
  </si>
  <si>
    <t>　・設備・装置類、システム機器、電気・通信配線、ガス・水等の配管、車両・搬送機器</t>
    <rPh sb="2" eb="4">
      <t>セツビ</t>
    </rPh>
    <rPh sb="5" eb="8">
      <t>ソウチルイ</t>
    </rPh>
    <rPh sb="13" eb="15">
      <t>キキ</t>
    </rPh>
    <rPh sb="16" eb="18">
      <t>デンキ</t>
    </rPh>
    <rPh sb="19" eb="21">
      <t>ツウシン</t>
    </rPh>
    <rPh sb="21" eb="23">
      <t>ハイセン</t>
    </rPh>
    <rPh sb="27" eb="28">
      <t>ミズ</t>
    </rPh>
    <rPh sb="28" eb="29">
      <t>トウ</t>
    </rPh>
    <rPh sb="30" eb="32">
      <t>ハイカン</t>
    </rPh>
    <rPh sb="33" eb="35">
      <t>シャリョウ</t>
    </rPh>
    <rPh sb="36" eb="38">
      <t>ハンソウ</t>
    </rPh>
    <rPh sb="38" eb="40">
      <t>キキ</t>
    </rPh>
    <phoneticPr fontId="1"/>
  </si>
  <si>
    <t>　・レンタル等で代替品が調達しやすいもの、取引先・仕入先などの早期復旧</t>
    <rPh sb="6" eb="7">
      <t>トウ</t>
    </rPh>
    <rPh sb="8" eb="11">
      <t>ダイガエヒン</t>
    </rPh>
    <rPh sb="12" eb="14">
      <t>チョウタツ</t>
    </rPh>
    <rPh sb="21" eb="24">
      <t>トリヒキサキ</t>
    </rPh>
    <rPh sb="25" eb="28">
      <t>シイレサキ</t>
    </rPh>
    <rPh sb="31" eb="35">
      <t>ソウキフッキュウ</t>
    </rPh>
    <phoneticPr fontId="1"/>
  </si>
  <si>
    <t>　・早期に出社が可能なメンバー</t>
    <rPh sb="2" eb="4">
      <t>ソウキ</t>
    </rPh>
    <rPh sb="5" eb="7">
      <t>シュッシャ</t>
    </rPh>
    <rPh sb="8" eb="10">
      <t>カノウ</t>
    </rPh>
    <phoneticPr fontId="1"/>
  </si>
  <si>
    <t>･被災後の手順</t>
  </si>
  <si>
    <t>様式
番号</t>
    <rPh sb="0" eb="2">
      <t>ヨウシキ</t>
    </rPh>
    <rPh sb="3" eb="5">
      <t>バンゴウ</t>
    </rPh>
    <phoneticPr fontId="1"/>
  </si>
  <si>
    <t>BCP特別保証</t>
    <rPh sb="3" eb="5">
      <t>トクベツ</t>
    </rPh>
    <rPh sb="5" eb="7">
      <t>ホショウ</t>
    </rPh>
    <phoneticPr fontId="1"/>
  </si>
  <si>
    <t>緊急時の対応体制</t>
    <rPh sb="0" eb="3">
      <t>キンキュウジ</t>
    </rPh>
    <rPh sb="4" eb="8">
      <t>タイオウタイセイ</t>
    </rPh>
    <phoneticPr fontId="1"/>
  </si>
  <si>
    <t>（例）本社工場内オフィス（○○会議室）</t>
  </si>
  <si>
    <t>参考様式４</t>
    <rPh sb="0" eb="4">
      <t>サンコウヨウシキ</t>
    </rPh>
    <phoneticPr fontId="1"/>
  </si>
  <si>
    <t>安否確認の実施場所</t>
  </si>
  <si>
    <t>災害本部の設置</t>
    <rPh sb="0" eb="4">
      <t>サイガイホンブ</t>
    </rPh>
    <rPh sb="5" eb="7">
      <t>セッチ</t>
    </rPh>
    <phoneticPr fontId="1"/>
  </si>
  <si>
    <t>（例）社長、専務、常務、総務部長、各部部長・・・</t>
  </si>
  <si>
    <t>理解度アンケート
理解度テスト</t>
  </si>
  <si>
    <t>第３版様式１０ａ</t>
  </si>
  <si>
    <t>参考様式５</t>
    <rPh sb="0" eb="4">
      <t>サンコウヨウシキ</t>
    </rPh>
    <phoneticPr fontId="1"/>
  </si>
  <si>
    <t>従業員の連絡先</t>
    <rPh sb="0" eb="3">
      <t>ジュウギョウイン</t>
    </rPh>
    <rPh sb="4" eb="7">
      <t>レンラクサキ</t>
    </rPh>
    <phoneticPr fontId="1"/>
  </si>
  <si>
    <t>事業所から避難要領</t>
    <rPh sb="0" eb="3">
      <t>ジギョウショ</t>
    </rPh>
    <rPh sb="5" eb="7">
      <t>ヒナン</t>
    </rPh>
    <rPh sb="7" eb="9">
      <t>ヨウリョウ</t>
    </rPh>
    <phoneticPr fontId="1"/>
  </si>
  <si>
    <t>参考様式７</t>
    <rPh sb="0" eb="4">
      <t>サンコウヨウシキ</t>
    </rPh>
    <phoneticPr fontId="1"/>
  </si>
  <si>
    <t>対応力が５０％減</t>
  </si>
  <si>
    <t>第３版様式１０ｄ</t>
  </si>
  <si>
    <t>参考様式８</t>
    <rPh sb="0" eb="4">
      <t>サンコウヨウシキ</t>
    </rPh>
    <phoneticPr fontId="1"/>
  </si>
  <si>
    <t>閉じ込められたり、モノの下敷きにならないよう職場環境を整備しておく</t>
    <rPh sb="0" eb="1">
      <t>ト</t>
    </rPh>
    <rPh sb="2" eb="3">
      <t>コ</t>
    </rPh>
    <rPh sb="12" eb="14">
      <t>シタジ</t>
    </rPh>
    <rPh sb="22" eb="26">
      <t>ショクバカンキョウ</t>
    </rPh>
    <rPh sb="27" eb="29">
      <t>セイビ</t>
    </rPh>
    <phoneticPr fontId="1"/>
  </si>
  <si>
    <t>集合場所責任者（代理責任者）</t>
  </si>
  <si>
    <t>代替拠点の概要</t>
    <rPh sb="0" eb="4">
      <t>ダイガエキョテン</t>
    </rPh>
    <rPh sb="5" eb="7">
      <t>ガイヨウ</t>
    </rPh>
    <phoneticPr fontId="1"/>
  </si>
  <si>
    <t>第３版様式１０ｅ</t>
  </si>
  <si>
    <t>注　発災時の混乱や停滞を避けるために、隣接業者や社屋管理者などと共同で本様式を作成することが望まれ
    ます。避難場所の地図を掲示しておいて下さい。非常口は明確にしておいて下さい。</t>
  </si>
  <si>
    <t>参考様式９</t>
    <rPh sb="0" eb="4">
      <t>サンコウヨウシキ</t>
    </rPh>
    <phoneticPr fontId="1"/>
  </si>
  <si>
    <t>緊急連絡先リスト</t>
    <rPh sb="0" eb="2">
      <t>キンキュウ</t>
    </rPh>
    <rPh sb="2" eb="5">
      <t>レンラクサキ</t>
    </rPh>
    <phoneticPr fontId="1"/>
  </si>
  <si>
    <t>参考様式１１</t>
    <rPh sb="0" eb="4">
      <t>サンコウヨウシキ</t>
    </rPh>
    <phoneticPr fontId="1"/>
  </si>
  <si>
    <t>安否確認担当</t>
    <rPh sb="0" eb="6">
      <t>アンピカクニンタントウ</t>
    </rPh>
    <phoneticPr fontId="1"/>
  </si>
  <si>
    <t>参考様式１２</t>
    <rPh sb="0" eb="4">
      <t>サンコウヨウシキ</t>
    </rPh>
    <phoneticPr fontId="1"/>
  </si>
  <si>
    <t>【BCP特別保証】被害予測に基づく財務チェック</t>
    <rPh sb="4" eb="6">
      <t>トクベツ</t>
    </rPh>
    <rPh sb="6" eb="8">
      <t>ホショウ</t>
    </rPh>
    <rPh sb="9" eb="13">
      <t>ヒガイヨソク</t>
    </rPh>
    <rPh sb="14" eb="15">
      <t>モト</t>
    </rPh>
    <rPh sb="17" eb="19">
      <t>ザイム</t>
    </rPh>
    <phoneticPr fontId="1"/>
  </si>
  <si>
    <t>技術部長</t>
    <rPh sb="0" eb="4">
      <t>ギジュツブチョウ</t>
    </rPh>
    <phoneticPr fontId="1"/>
  </si>
  <si>
    <t>声掛け・指示</t>
    <rPh sb="0" eb="2">
      <t>コエカ</t>
    </rPh>
    <rPh sb="4" eb="6">
      <t>シジ</t>
    </rPh>
    <phoneticPr fontId="1"/>
  </si>
  <si>
    <t>事業継続計画書</t>
    <rPh sb="0" eb="4">
      <t>ジギョウケイゾク</t>
    </rPh>
    <rPh sb="4" eb="7">
      <t>ケイカクショ</t>
    </rPh>
    <phoneticPr fontId="1"/>
  </si>
  <si>
    <t>第　　　　版</t>
    <rPh sb="0" eb="1">
      <t>ダイ</t>
    </rPh>
    <rPh sb="5" eb="6">
      <t>ハン</t>
    </rPh>
    <phoneticPr fontId="1"/>
  </si>
  <si>
    <t>来社顧客・従業員の安全確保</t>
    <rPh sb="0" eb="2">
      <t>ライシャ</t>
    </rPh>
    <rPh sb="2" eb="4">
      <t>コキャク</t>
    </rPh>
    <rPh sb="5" eb="8">
      <t>ジュウギョウイン</t>
    </rPh>
    <rPh sb="9" eb="13">
      <t>アンゼンカクホ</t>
    </rPh>
    <phoneticPr fontId="1"/>
  </si>
  <si>
    <t>統括責任者</t>
    <rPh sb="0" eb="2">
      <t>トウカツ</t>
    </rPh>
    <rPh sb="2" eb="5">
      <t>セキニンシャ</t>
    </rPh>
    <phoneticPr fontId="1"/>
  </si>
  <si>
    <t>自社での現地復旧技術の習得、設備の補修業者との連携強化や代替補修業者の選定</t>
    <rPh sb="0" eb="2">
      <t>ジシャ</t>
    </rPh>
    <rPh sb="4" eb="8">
      <t>ゲンチフッキュウ</t>
    </rPh>
    <rPh sb="8" eb="10">
      <t>ギジュツ</t>
    </rPh>
    <rPh sb="11" eb="13">
      <t>シュウトク</t>
    </rPh>
    <rPh sb="14" eb="16">
      <t>セツビ</t>
    </rPh>
    <rPh sb="17" eb="21">
      <t>ホシュウギョウシャ</t>
    </rPh>
    <rPh sb="23" eb="27">
      <t>レンケイキョウカ</t>
    </rPh>
    <rPh sb="28" eb="30">
      <t>ダイガエ</t>
    </rPh>
    <rPh sb="30" eb="34">
      <t>ホシュウギョウシャ</t>
    </rPh>
    <rPh sb="35" eb="37">
      <t>センテイ</t>
    </rPh>
    <phoneticPr fontId="1"/>
  </si>
  <si>
    <t>サブリーダー</t>
  </si>
  <si>
    <t>事務局長</t>
    <rPh sb="0" eb="3">
      <t>ジムキョク</t>
    </rPh>
    <rPh sb="3" eb="4">
      <t>チョウ</t>
    </rPh>
    <phoneticPr fontId="1"/>
  </si>
  <si>
    <t>製造部代表</t>
    <rPh sb="0" eb="2">
      <t>セイゾウ</t>
    </rPh>
    <rPh sb="2" eb="5">
      <t>ブダイヒョウ</t>
    </rPh>
    <phoneticPr fontId="1"/>
  </si>
  <si>
    <t>・・・・・</t>
  </si>
  <si>
    <t>令和　　年　　月　　日</t>
    <rPh sb="0" eb="2">
      <t>レイワ</t>
    </rPh>
    <rPh sb="4" eb="5">
      <t>ネン</t>
    </rPh>
    <rPh sb="7" eb="8">
      <t>ガツ</t>
    </rPh>
    <rPh sb="10" eb="11">
      <t>ニチ</t>
    </rPh>
    <phoneticPr fontId="1"/>
  </si>
  <si>
    <t>半月分は在庫で対応</t>
    <rPh sb="0" eb="2">
      <t>ハンツキ</t>
    </rPh>
    <rPh sb="2" eb="3">
      <t>ブン</t>
    </rPh>
    <rPh sb="4" eb="6">
      <t>ザイコ</t>
    </rPh>
    <rPh sb="7" eb="9">
      <t>タイオウ</t>
    </rPh>
    <phoneticPr fontId="1"/>
  </si>
  <si>
    <t>BCP発動･対策本部
･従業員安否確認･緊急要員参集</t>
    <rPh sb="3" eb="5">
      <t>ハツドウ</t>
    </rPh>
    <rPh sb="6" eb="10">
      <t>タイサクホンブ</t>
    </rPh>
    <rPh sb="12" eb="15">
      <t>ジュウギョウイン</t>
    </rPh>
    <rPh sb="20" eb="22">
      <t>キンキュウ</t>
    </rPh>
    <rPh sb="22" eb="24">
      <t>ヨウイン</t>
    </rPh>
    <rPh sb="24" eb="26">
      <t>サンシュウ</t>
    </rPh>
    <phoneticPr fontId="1"/>
  </si>
  <si>
    <t>危機発生後の役割と担当者をこの表のようにマトリックスで示すと漏れがなくなる。リーダー（L)には必ずサブ（S)を設けること</t>
    <rPh sb="0" eb="5">
      <t>キキハッセイゴ</t>
    </rPh>
    <rPh sb="6" eb="8">
      <t>ヤクワリ</t>
    </rPh>
    <rPh sb="9" eb="12">
      <t>タントウシャ</t>
    </rPh>
    <rPh sb="15" eb="16">
      <t>ヒョウ</t>
    </rPh>
    <rPh sb="27" eb="28">
      <t>シメ</t>
    </rPh>
    <rPh sb="30" eb="31">
      <t>モ</t>
    </rPh>
    <rPh sb="47" eb="48">
      <t>カナラ</t>
    </rPh>
    <rPh sb="55" eb="56">
      <t>モウ</t>
    </rPh>
    <phoneticPr fontId="1"/>
  </si>
  <si>
    <t>２W</t>
  </si>
  <si>
    <t>検討事項</t>
    <rPh sb="0" eb="2">
      <t>ケントウ</t>
    </rPh>
    <rPh sb="2" eb="4">
      <t>ジコウ</t>
    </rPh>
    <phoneticPr fontId="1"/>
  </si>
  <si>
    <t>出社困難者発生の可能性</t>
    <rPh sb="0" eb="2">
      <t>シュッシャ</t>
    </rPh>
    <rPh sb="2" eb="4">
      <t>コンナン</t>
    </rPh>
    <rPh sb="4" eb="5">
      <t>シャ</t>
    </rPh>
    <rPh sb="5" eb="7">
      <t>ハッセイ</t>
    </rPh>
    <rPh sb="8" eb="11">
      <t>カノウセイ</t>
    </rPh>
    <phoneticPr fontId="1"/>
  </si>
  <si>
    <t>3日後</t>
  </si>
  <si>
    <t>1週間後</t>
  </si>
  <si>
    <t>第３版様式10c</t>
  </si>
  <si>
    <t>2か月後</t>
  </si>
  <si>
    <t>3か月後</t>
  </si>
  <si>
    <t>事業再開はインフラ復旧前に
やる事がある</t>
    <rPh sb="0" eb="4">
      <t>ジギョウサイカイ</t>
    </rPh>
    <rPh sb="9" eb="11">
      <t>フッキュウ</t>
    </rPh>
    <rPh sb="11" eb="12">
      <t>マエ</t>
    </rPh>
    <rPh sb="16" eb="17">
      <t>コト</t>
    </rPh>
    <phoneticPr fontId="1"/>
  </si>
  <si>
    <t>半年後</t>
  </si>
  <si>
    <t>1年後</t>
  </si>
  <si>
    <t>緊急時対応の代替業者の確保
バックアップ設備の確保</t>
    <rPh sb="0" eb="5">
      <t>キンキュウジタイオウ</t>
    </rPh>
    <rPh sb="6" eb="8">
      <t>ダイガエ</t>
    </rPh>
    <rPh sb="8" eb="10">
      <t>ギョウシャ</t>
    </rPh>
    <rPh sb="11" eb="13">
      <t>カクホ</t>
    </rPh>
    <rPh sb="20" eb="22">
      <t>セツビ</t>
    </rPh>
    <rPh sb="23" eb="25">
      <t>カクホ</t>
    </rPh>
    <phoneticPr fontId="1"/>
  </si>
  <si>
    <t>3年後</t>
  </si>
  <si>
    <t>常務（工場長）</t>
    <rPh sb="0" eb="2">
      <t>ジョウム</t>
    </rPh>
    <rPh sb="3" eb="6">
      <t>コウジョウチョウ</t>
    </rPh>
    <phoneticPr fontId="1"/>
  </si>
  <si>
    <t>【参考様式１１】南海トラフ地震に関連する臨時情報発表時の対応</t>
    <rPh sb="1" eb="3">
      <t>サンコウ</t>
    </rPh>
    <rPh sb="8" eb="10">
      <t>ナンカイ</t>
    </rPh>
    <rPh sb="20" eb="22">
      <t>リンジ</t>
    </rPh>
    <phoneticPr fontId="1"/>
  </si>
  <si>
    <t>静岡県の南海トラフ地震臨時情報サイト：</t>
    <rPh sb="0" eb="3">
      <t>シズオカケン</t>
    </rPh>
    <rPh sb="4" eb="6">
      <t>ナンカイ</t>
    </rPh>
    <rPh sb="9" eb="15">
      <t>ジシンリンジジョウホウ</t>
    </rPh>
    <phoneticPr fontId="1"/>
  </si>
  <si>
    <t>https://www.pref.shizuoka.jp/bosaikinkyu/sonae/earthquake/nankaitorafu/1035406.html</t>
  </si>
  <si>
    <t>国の南海トラフ地震臨時情報関連サイト：　</t>
    <rPh sb="0" eb="1">
      <t>クニ</t>
    </rPh>
    <rPh sb="13" eb="15">
      <t>カンレン</t>
    </rPh>
    <phoneticPr fontId="1"/>
  </si>
  <si>
    <t>https://www.bousai.go.jp/jishin/nankai/taio_wg/pdf/h300806shiryo02.pdf</t>
  </si>
  <si>
    <t>・台風に備えた備蓄品の確認
・対策本部設営備品の確認
・上陸当日体制の検討
台風情報を6時間毎に入手</t>
    <rPh sb="1" eb="3">
      <t>タイフウ</t>
    </rPh>
    <rPh sb="4" eb="5">
      <t>ソナ</t>
    </rPh>
    <rPh sb="7" eb="10">
      <t>ビチクヒン</t>
    </rPh>
    <rPh sb="11" eb="13">
      <t>カクニン</t>
    </rPh>
    <rPh sb="15" eb="19">
      <t>タイサクホンブ</t>
    </rPh>
    <rPh sb="19" eb="21">
      <t>セツエイ</t>
    </rPh>
    <rPh sb="21" eb="23">
      <t>ビヒン</t>
    </rPh>
    <rPh sb="24" eb="26">
      <t>カクニン</t>
    </rPh>
    <rPh sb="28" eb="30">
      <t>ジョウリク</t>
    </rPh>
    <rPh sb="30" eb="32">
      <t>トウジツ</t>
    </rPh>
    <rPh sb="32" eb="34">
      <t>タイセイ</t>
    </rPh>
    <rPh sb="35" eb="37">
      <t>ケントウ</t>
    </rPh>
    <rPh sb="38" eb="42">
      <t>タイフウジョウホウ</t>
    </rPh>
    <rPh sb="44" eb="46">
      <t>ジカン</t>
    </rPh>
    <rPh sb="46" eb="47">
      <t>マイ</t>
    </rPh>
    <rPh sb="48" eb="50">
      <t>ニュウシュ</t>
    </rPh>
    <phoneticPr fontId="1"/>
  </si>
  <si>
    <t>【参考様式１０】応急対応メンバーのための備蓄</t>
    <rPh sb="1" eb="3">
      <t>サンコウ</t>
    </rPh>
    <phoneticPr fontId="1"/>
  </si>
  <si>
    <t>区分</t>
    <rPh sb="0" eb="2">
      <t>クブン</t>
    </rPh>
    <phoneticPr fontId="1"/>
  </si>
  <si>
    <t>【積極的にフェーズフリーを】備蓄品や非常用備品を防災専用比ではなく、普段使いもでき、イザという時には助けになることをフェーズフリーと言います。残業用軽食を非常食に、PHV車を非常時の電源として、ウオーターサーバーのボトルを非常時の飲料水に利用という使い方です。知恵でフェーズフリー用品を増やしましょう。</t>
    <rPh sb="1" eb="4">
      <t>セッキョクテキ</t>
    </rPh>
    <rPh sb="14" eb="17">
      <t>ビチクヒン</t>
    </rPh>
    <rPh sb="18" eb="21">
      <t>ヒジョウヨウ</t>
    </rPh>
    <rPh sb="21" eb="23">
      <t>ビヒン</t>
    </rPh>
    <rPh sb="24" eb="29">
      <t>ボウサイセンヨウヒ</t>
    </rPh>
    <rPh sb="34" eb="37">
      <t>フダンヅカ</t>
    </rPh>
    <rPh sb="47" eb="48">
      <t>トキ</t>
    </rPh>
    <rPh sb="50" eb="51">
      <t>タス</t>
    </rPh>
    <rPh sb="66" eb="67">
      <t>イ</t>
    </rPh>
    <rPh sb="71" eb="74">
      <t>ザンギョウヨウ</t>
    </rPh>
    <rPh sb="74" eb="76">
      <t>ケイショク</t>
    </rPh>
    <rPh sb="77" eb="79">
      <t>ヒジョウ</t>
    </rPh>
    <rPh sb="79" eb="80">
      <t>ショク</t>
    </rPh>
    <rPh sb="85" eb="86">
      <t>シャ</t>
    </rPh>
    <rPh sb="87" eb="90">
      <t>ヒジョウジ</t>
    </rPh>
    <rPh sb="91" eb="93">
      <t>デンゲン</t>
    </rPh>
    <rPh sb="111" eb="114">
      <t>ヒジョウジ</t>
    </rPh>
    <rPh sb="115" eb="118">
      <t>インリョウスイ</t>
    </rPh>
    <rPh sb="119" eb="121">
      <t>リヨウ</t>
    </rPh>
    <rPh sb="124" eb="125">
      <t>ツカ</t>
    </rPh>
    <rPh sb="126" eb="127">
      <t>カタ</t>
    </rPh>
    <rPh sb="130" eb="132">
      <t>チエ</t>
    </rPh>
    <rPh sb="140" eb="142">
      <t>ヨウヒン</t>
    </rPh>
    <rPh sb="143" eb="144">
      <t>フ</t>
    </rPh>
    <phoneticPr fontId="1"/>
  </si>
  <si>
    <t>第３版様式10ｇ</t>
  </si>
  <si>
    <t>被災しない顧客が大半で、市場は大きな変化はない</t>
    <rPh sb="0" eb="2">
      <t>ヒサイ</t>
    </rPh>
    <rPh sb="5" eb="7">
      <t>コキャク</t>
    </rPh>
    <rPh sb="8" eb="10">
      <t>タイハン</t>
    </rPh>
    <rPh sb="12" eb="14">
      <t>シジョウ</t>
    </rPh>
    <rPh sb="15" eb="16">
      <t>オオ</t>
    </rPh>
    <rPh sb="18" eb="20">
      <t>ヘンカ</t>
    </rPh>
    <phoneticPr fontId="1"/>
  </si>
  <si>
    <t>第３版様式10ｅ</t>
  </si>
  <si>
    <t>代替連絡拠点名</t>
  </si>
  <si>
    <t>緊急時</t>
  </si>
  <si>
    <t>代替拠点緊急参集者及び役割</t>
  </si>
  <si>
    <t>携帯電話番号、携帯アドレス</t>
  </si>
  <si>
    <t>ー</t>
  </si>
  <si>
    <t>設備の耐震補強、代替協力企業への協力依頼</t>
    <rPh sb="0" eb="2">
      <t>セツビ</t>
    </rPh>
    <rPh sb="3" eb="5">
      <t>タイシン</t>
    </rPh>
    <rPh sb="5" eb="7">
      <t>ホキョウ</t>
    </rPh>
    <rPh sb="8" eb="10">
      <t>ダイガエ</t>
    </rPh>
    <rPh sb="10" eb="12">
      <t>キョウリョク</t>
    </rPh>
    <rPh sb="12" eb="14">
      <t>キギョウ</t>
    </rPh>
    <rPh sb="16" eb="20">
      <t>キョウリョクイライ</t>
    </rPh>
    <phoneticPr fontId="1"/>
  </si>
  <si>
    <t>代替拠点への移動手段</t>
  </si>
  <si>
    <t>各現場責任者が報告</t>
    <rPh sb="0" eb="6">
      <t>カクゲンバセキニンシャ</t>
    </rPh>
    <rPh sb="7" eb="9">
      <t>ホウコク</t>
    </rPh>
    <phoneticPr fontId="1"/>
  </si>
  <si>
    <r>
      <t xml:space="preserve">注　拠点への地図、道順等が必要であれば備えます。また、拠点へ持ち込むものが必要であれば、
　　　リストにしておきます。
　　　小規模企業なら緊急参集者は少数でもかまいませんが、２人以上にすべきです。
　　　代行者は、人数の余裕がなければ、総括責任者以外は可能な範囲で決めるので足ります。
</t>
    </r>
    <r>
      <rPr>
        <sz val="10"/>
        <color indexed="8"/>
        <rFont val="ＭＳ Ｐゴシック"/>
      </rPr>
      <t xml:space="preserve">出典：NPO法人事業継続推進機構「中小企業BCPステップアップ・ガイド」(4.0版)1-7ページ。一部修正。
</t>
    </r>
  </si>
  <si>
    <t>第３版様式10d</t>
    <rPh sb="0" eb="1">
      <t>ダイ</t>
    </rPh>
    <rPh sb="2" eb="3">
      <t>ハン</t>
    </rPh>
    <rPh sb="3" eb="5">
      <t>ヨウシキ</t>
    </rPh>
    <phoneticPr fontId="1"/>
  </si>
  <si>
    <t>安否確認の責任者</t>
  </si>
  <si>
    <t>（電話や携帯電話が通じにくいことを考えて、携帯メールを
積極的に活用することが望ましい。）</t>
  </si>
  <si>
    <t>例：震度○以上の地震</t>
  </si>
  <si>
    <t>連絡が取れない場合の対応</t>
  </si>
  <si>
    <t>出典：NPO法人事業継続推進機構「中小企業BCPステップアップ・ガイド」(4.0版)1-15ページ。（加筆あり）</t>
  </si>
  <si>
    <t>【参考様式12】従業員携行カード（改訂版）</t>
    <rPh sb="1" eb="3">
      <t>サンコウ</t>
    </rPh>
    <rPh sb="17" eb="20">
      <t>カイテイバン</t>
    </rPh>
    <phoneticPr fontId="1"/>
  </si>
  <si>
    <t>会社から避難が必要となった場合に
するべき事項</t>
  </si>
  <si>
    <t>上記責任者の責務</t>
  </si>
  <si>
    <t>業務停止責任者（代理責任者）</t>
  </si>
  <si>
    <t>感染爆発、
休業者多発</t>
    <rPh sb="0" eb="4">
      <t>カンセンバクハツ</t>
    </rPh>
    <rPh sb="6" eb="9">
      <t>キュウギョウシャ</t>
    </rPh>
    <rPh sb="9" eb="11">
      <t>タハツ</t>
    </rPh>
    <phoneticPr fontId="1"/>
  </si>
  <si>
    <t>【参考様式5】従業員の連絡先</t>
    <rPh sb="1" eb="3">
      <t>サンコウ</t>
    </rPh>
    <phoneticPr fontId="1"/>
  </si>
  <si>
    <t>防災関連
知識研修</t>
    <rPh sb="0" eb="2">
      <t>ボウサイ</t>
    </rPh>
    <rPh sb="2" eb="4">
      <t>カンレン</t>
    </rPh>
    <rPh sb="5" eb="7">
      <t>チシキ</t>
    </rPh>
    <rPh sb="7" eb="9">
      <t>ケンシュウ</t>
    </rPh>
    <phoneticPr fontId="1"/>
  </si>
  <si>
    <t>第３版様式10b</t>
  </si>
  <si>
    <t>広域災害発生時の対応演習</t>
  </si>
  <si>
    <t>※　災害時は音声電話等はつながらいため、SMSや携帯メール、PCメールなど複数の連絡手段を用意しておくこと</t>
    <rPh sb="2" eb="5">
      <t>サイガイジ</t>
    </rPh>
    <rPh sb="6" eb="11">
      <t>オンセイデンワトウ</t>
    </rPh>
    <rPh sb="24" eb="26">
      <t>ケイタイ</t>
    </rPh>
    <rPh sb="37" eb="39">
      <t>フクスウ</t>
    </rPh>
    <rPh sb="40" eb="44">
      <t>レンラクシュダン</t>
    </rPh>
    <rPh sb="45" eb="47">
      <t>ヨウイ</t>
    </rPh>
    <phoneticPr fontId="1"/>
  </si>
  <si>
    <t>災害対策本部の設置</t>
  </si>
  <si>
    <t>（例）社長</t>
  </si>
  <si>
    <t>（例）○○専務（その次に○○常務）</t>
  </si>
  <si>
    <t>災害対策本部を設置する時期</t>
  </si>
  <si>
    <t>災害対策本部を設置する場所</t>
  </si>
  <si>
    <t>災害対策本部の代替設置場所</t>
  </si>
  <si>
    <t>災害対策本部の要員</t>
  </si>
  <si>
    <t>発災後3時間以内</t>
    <rPh sb="0" eb="3">
      <t>ハッサイゴ</t>
    </rPh>
    <rPh sb="4" eb="6">
      <t>ジカン</t>
    </rPh>
    <rPh sb="6" eb="8">
      <t>イナイ</t>
    </rPh>
    <phoneticPr fontId="1"/>
  </si>
  <si>
    <t>【参考様式１】従業員・家族等への家庭ＢＣＰ（被災からの生活再建）</t>
    <rPh sb="0" eb="2">
      <t>セイカ</t>
    </rPh>
    <rPh sb="3" eb="5">
      <t>ヨウシキ</t>
    </rPh>
    <phoneticPr fontId="1"/>
  </si>
  <si>
    <t>家庭のＢＣＰの検討例</t>
    <rPh sb="0" eb="2">
      <t>カテイ</t>
    </rPh>
    <rPh sb="7" eb="10">
      <t>ケントウレイ</t>
    </rPh>
    <phoneticPr fontId="1"/>
  </si>
  <si>
    <r>
      <rPr>
        <b/>
        <sz val="12"/>
        <color rgb="FFFF0000"/>
        <rFont val="ＭＳ Ｐゴシック"/>
      </rPr>
      <t>　被災程度大</t>
    </r>
    <r>
      <rPr>
        <b/>
        <sz val="12"/>
        <color theme="1"/>
        <rFont val="ＭＳ Ｐゴシック"/>
      </rPr>
      <t>：マイ・タイムライン（最悪事態を想定／生活再建：自分達が被災支援制度の被災者になることを想定しての準備内容）</t>
    </r>
    <rPh sb="1" eb="3">
      <t>ヒサイ</t>
    </rPh>
    <rPh sb="3" eb="5">
      <t>テイド</t>
    </rPh>
    <rPh sb="5" eb="6">
      <t>ダイ</t>
    </rPh>
    <rPh sb="17" eb="19">
      <t>サイアク</t>
    </rPh>
    <rPh sb="19" eb="21">
      <t>ジタイ</t>
    </rPh>
    <rPh sb="22" eb="24">
      <t>ソウテイ</t>
    </rPh>
    <rPh sb="25" eb="29">
      <t>セイカツサイケン</t>
    </rPh>
    <rPh sb="30" eb="33">
      <t>ジブンタチ</t>
    </rPh>
    <rPh sb="34" eb="36">
      <t>ヒサイ</t>
    </rPh>
    <rPh sb="36" eb="38">
      <t>シエン</t>
    </rPh>
    <rPh sb="38" eb="40">
      <t>セイド</t>
    </rPh>
    <rPh sb="41" eb="44">
      <t>ヒサイシャ</t>
    </rPh>
    <rPh sb="50" eb="52">
      <t>ソウテイ</t>
    </rPh>
    <rPh sb="55" eb="57">
      <t>ジュンビ</t>
    </rPh>
    <rPh sb="57" eb="59">
      <t>ナイヨウ</t>
    </rPh>
    <phoneticPr fontId="1"/>
  </si>
  <si>
    <t>平時事前対策</t>
    <rPh sb="2" eb="4">
      <t>ジゼン</t>
    </rPh>
    <phoneticPr fontId="1"/>
  </si>
  <si>
    <t>優先業務再開に必要なリソースを優先的に復旧し、業務の再開を目指す
【補足】
被災状況に従い、別事業所での代替なども検討
現地復旧可否の基準設定が必要
自力復旧のための技術力の向上</t>
    <rPh sb="0" eb="4">
      <t>ユウセンギョウム</t>
    </rPh>
    <rPh sb="4" eb="6">
      <t>サイカイ</t>
    </rPh>
    <rPh sb="7" eb="9">
      <t>ヒツヨウ</t>
    </rPh>
    <rPh sb="15" eb="17">
      <t>ユウセン</t>
    </rPh>
    <rPh sb="17" eb="18">
      <t>テキ</t>
    </rPh>
    <rPh sb="19" eb="21">
      <t>フッキュウ</t>
    </rPh>
    <rPh sb="23" eb="25">
      <t>ギョウム</t>
    </rPh>
    <rPh sb="26" eb="28">
      <t>サイカイ</t>
    </rPh>
    <rPh sb="29" eb="31">
      <t>メザ</t>
    </rPh>
    <phoneticPr fontId="1"/>
  </si>
  <si>
    <t>役員1名が出社不可
管理職2名出社不可</t>
  </si>
  <si>
    <t>命のパスポート・静岡県</t>
    <rPh sb="0" eb="1">
      <t>イノチ</t>
    </rPh>
    <rPh sb="8" eb="11">
      <t>シズオカケン</t>
    </rPh>
    <phoneticPr fontId="1"/>
  </si>
  <si>
    <t>　　必要事項を記入の上、全ての従業員に携行させます。</t>
  </si>
  <si>
    <t>出荷検査</t>
    <rPh sb="0" eb="4">
      <t>シュッカケンサ</t>
    </rPh>
    <phoneticPr fontId="1"/>
  </si>
  <si>
    <t>被害は比較的軽微で比較的短期間で修復可能</t>
    <rPh sb="0" eb="2">
      <t>ヒガイ</t>
    </rPh>
    <rPh sb="3" eb="6">
      <t>ヒカクテキ</t>
    </rPh>
    <rPh sb="6" eb="8">
      <t>ケイビ</t>
    </rPh>
    <rPh sb="9" eb="12">
      <t>ヒカクテキ</t>
    </rPh>
    <rPh sb="12" eb="15">
      <t>タンキカン</t>
    </rPh>
    <rPh sb="16" eb="18">
      <t>シュウフク</t>
    </rPh>
    <rPh sb="18" eb="20">
      <t>カノウ</t>
    </rPh>
    <phoneticPr fontId="1"/>
  </si>
  <si>
    <t>被害は大きく、重要リソースの復旧に半年から1年必要
近隣で被害軽微な地域や事業者がいる</t>
    <rPh sb="0" eb="2">
      <t>ヒガイ</t>
    </rPh>
    <rPh sb="3" eb="4">
      <t>オオ</t>
    </rPh>
    <rPh sb="7" eb="9">
      <t>ジュウヨウ</t>
    </rPh>
    <rPh sb="14" eb="16">
      <t>フッキュウ</t>
    </rPh>
    <rPh sb="17" eb="19">
      <t>ハントシ</t>
    </rPh>
    <rPh sb="22" eb="23">
      <t>ネン</t>
    </rPh>
    <rPh sb="23" eb="25">
      <t>ヒツヨウ</t>
    </rPh>
    <rPh sb="26" eb="28">
      <t>キンリン</t>
    </rPh>
    <rPh sb="29" eb="33">
      <t>ヒガイケイビ</t>
    </rPh>
    <rPh sb="34" eb="36">
      <t>チイキ</t>
    </rPh>
    <rPh sb="37" eb="40">
      <t>ジギョウシャ</t>
    </rPh>
    <phoneticPr fontId="1"/>
  </si>
  <si>
    <t>自社での対応は困難の可能性が大、企業連携を強化し業務再開を目指す
【補足】
地元顧客がメインの場合は、他地域で暫定事業再開も検討</t>
    <rPh sb="0" eb="2">
      <t>ジシャ</t>
    </rPh>
    <rPh sb="4" eb="6">
      <t>タイオウ</t>
    </rPh>
    <rPh sb="7" eb="9">
      <t>コンナン</t>
    </rPh>
    <rPh sb="10" eb="13">
      <t>カノウセイ</t>
    </rPh>
    <rPh sb="14" eb="15">
      <t>ダイ</t>
    </rPh>
    <rPh sb="16" eb="20">
      <t>キギョウレンケイ</t>
    </rPh>
    <rPh sb="21" eb="23">
      <t>キョウカ</t>
    </rPh>
    <rPh sb="24" eb="26">
      <t>ギョウム</t>
    </rPh>
    <rPh sb="26" eb="28">
      <t>サイカイ</t>
    </rPh>
    <rPh sb="29" eb="31">
      <t>メザ</t>
    </rPh>
    <phoneticPr fontId="1"/>
  </si>
  <si>
    <t>重大脅威への減災対策強化や事業場の分散、
事業構造の変革、
支援企業との連携方法</t>
  </si>
  <si>
    <t>輸送機関係組立</t>
    <rPh sb="0" eb="5">
      <t>ユソウキカンケイ</t>
    </rPh>
    <rPh sb="5" eb="7">
      <t>クミタテ</t>
    </rPh>
    <phoneticPr fontId="39"/>
  </si>
  <si>
    <t>浸水区域</t>
    <rPh sb="0" eb="4">
      <t>シンスイクイキ</t>
    </rPh>
    <phoneticPr fontId="1"/>
  </si>
  <si>
    <t>年１回</t>
    <rPh sb="0" eb="1">
      <t>ネン</t>
    </rPh>
    <rPh sb="2" eb="3">
      <t>カイ</t>
    </rPh>
    <phoneticPr fontId="1"/>
  </si>
  <si>
    <t>試作対応</t>
    <rPh sb="0" eb="2">
      <t>シサク</t>
    </rPh>
    <rPh sb="2" eb="4">
      <t>タイオウ</t>
    </rPh>
    <phoneticPr fontId="1"/>
  </si>
  <si>
    <t>３W</t>
  </si>
  <si>
    <t>20日</t>
    <rPh sb="2" eb="3">
      <t>ニチ</t>
    </rPh>
    <phoneticPr fontId="1"/>
  </si>
  <si>
    <t>被災写真（周辺･家屋内）</t>
  </si>
  <si>
    <t>当面対応しない、医療関係は別途対応を検討</t>
    <rPh sb="0" eb="4">
      <t>トウメンタイオウ</t>
    </rPh>
    <rPh sb="8" eb="12">
      <t>イリョウカンケイ</t>
    </rPh>
    <rPh sb="13" eb="15">
      <t>ベット</t>
    </rPh>
    <rPh sb="15" eb="17">
      <t>タイオウ</t>
    </rPh>
    <rPh sb="18" eb="20">
      <t>ケントウ</t>
    </rPh>
    <phoneticPr fontId="1"/>
  </si>
  <si>
    <t>地震</t>
    <rPh sb="0" eb="2">
      <t>ジシン</t>
    </rPh>
    <phoneticPr fontId="1"/>
  </si>
  <si>
    <t>業務再開時役割体制づくり</t>
    <rPh sb="0" eb="2">
      <t>ギョウム</t>
    </rPh>
    <rPh sb="2" eb="4">
      <t>サイカイ</t>
    </rPh>
    <rPh sb="4" eb="5">
      <t>ジ</t>
    </rPh>
    <rPh sb="5" eb="7">
      <t>ヤクワリ</t>
    </rPh>
    <rPh sb="7" eb="9">
      <t>タイセイ</t>
    </rPh>
    <phoneticPr fontId="1"/>
  </si>
  <si>
    <t>津波</t>
    <rPh sb="0" eb="2">
      <t>ツナミ</t>
    </rPh>
    <phoneticPr fontId="1"/>
  </si>
  <si>
    <t>液状化</t>
    <rPh sb="0" eb="3">
      <t>エキジョウカ</t>
    </rPh>
    <phoneticPr fontId="1"/>
  </si>
  <si>
    <t>半割れ地震</t>
    <rPh sb="0" eb="2">
      <t>ハンワ</t>
    </rPh>
    <rPh sb="3" eb="5">
      <t>ジシン</t>
    </rPh>
    <phoneticPr fontId="1"/>
  </si>
  <si>
    <t>土砂災害（崖崩れ）</t>
    <rPh sb="0" eb="4">
      <t>ドシャサイガイ</t>
    </rPh>
    <rPh sb="5" eb="7">
      <t>ガケクズ</t>
    </rPh>
    <phoneticPr fontId="1"/>
  </si>
  <si>
    <t>経営陣が代行、もしくは下位管理者が代行</t>
  </si>
  <si>
    <t>感染症</t>
    <rPh sb="0" eb="3">
      <t>カンセンショウ</t>
    </rPh>
    <phoneticPr fontId="1"/>
  </si>
  <si>
    <t>火災</t>
    <rPh sb="0" eb="2">
      <t>カサイ</t>
    </rPh>
    <phoneticPr fontId="1"/>
  </si>
  <si>
    <t>情報漏洩</t>
    <rPh sb="0" eb="2">
      <t>ジョウホウ</t>
    </rPh>
    <rPh sb="2" eb="4">
      <t>ロウエイ</t>
    </rPh>
    <phoneticPr fontId="1"/>
  </si>
  <si>
    <t>重大クレーム</t>
    <rPh sb="0" eb="2">
      <t>ジュウダイ</t>
    </rPh>
    <phoneticPr fontId="1"/>
  </si>
  <si>
    <t>風評被害</t>
    <rPh sb="0" eb="2">
      <t>フウヒョウ</t>
    </rPh>
    <rPh sb="2" eb="4">
      <t>ヒガイ</t>
    </rPh>
    <phoneticPr fontId="1"/>
  </si>
  <si>
    <t>為替変動</t>
    <rPh sb="0" eb="4">
      <t>カワセヘンドウ</t>
    </rPh>
    <phoneticPr fontId="1"/>
  </si>
  <si>
    <t>地政学的脅威</t>
    <rPh sb="0" eb="4">
      <t>チセイガクテキ</t>
    </rPh>
    <rPh sb="4" eb="6">
      <t>キョウイ</t>
    </rPh>
    <phoneticPr fontId="1"/>
  </si>
  <si>
    <t>システムベンダー</t>
  </si>
  <si>
    <t>南海トラフ地震</t>
    <rPh sb="0" eb="2">
      <t>ナンカイ</t>
    </rPh>
    <rPh sb="5" eb="7">
      <t>ジシン</t>
    </rPh>
    <phoneticPr fontId="1"/>
  </si>
  <si>
    <t>集中豪雨</t>
    <rPh sb="0" eb="4">
      <t>シュウチュウゴウウ</t>
    </rPh>
    <phoneticPr fontId="1"/>
  </si>
  <si>
    <t>マルウェア感染</t>
    <rPh sb="5" eb="7">
      <t>カンセン</t>
    </rPh>
    <phoneticPr fontId="1"/>
  </si>
  <si>
    <t>救出</t>
    <rPh sb="0" eb="2">
      <t>キュウシュツ</t>
    </rPh>
    <phoneticPr fontId="1"/>
  </si>
  <si>
    <t>顧客情報流出</t>
    <rPh sb="0" eb="4">
      <t>コキャクジョウホウ</t>
    </rPh>
    <rPh sb="4" eb="6">
      <t>リュウシュツ</t>
    </rPh>
    <phoneticPr fontId="1"/>
  </si>
  <si>
    <t>該当被害なし</t>
    <rPh sb="0" eb="4">
      <t>ガイトウヒガイ</t>
    </rPh>
    <phoneticPr fontId="1"/>
  </si>
  <si>
    <t>感染拡大による出社できないメンバーの増加
風評被害による事業への影響</t>
    <rPh sb="0" eb="4">
      <t>カンセンカクダイ</t>
    </rPh>
    <rPh sb="7" eb="9">
      <t>シュッシャ</t>
    </rPh>
    <rPh sb="18" eb="20">
      <t>ゾウカ</t>
    </rPh>
    <rPh sb="21" eb="23">
      <t>フウヒョウ</t>
    </rPh>
    <rPh sb="23" eb="25">
      <t>ヒガイ</t>
    </rPh>
    <rPh sb="28" eb="30">
      <t>ジギョウ</t>
    </rPh>
    <rPh sb="32" eb="34">
      <t>エイキョウ</t>
    </rPh>
    <phoneticPr fontId="1"/>
  </si>
  <si>
    <t>火災が発生した事務所（事業所）にあった品物や機器類も含め焼失</t>
    <rPh sb="0" eb="2">
      <t>カサイ</t>
    </rPh>
    <rPh sb="3" eb="5">
      <t>ハッセイ</t>
    </rPh>
    <rPh sb="7" eb="10">
      <t>ジムショ</t>
    </rPh>
    <rPh sb="11" eb="14">
      <t>ジギョウショ</t>
    </rPh>
    <rPh sb="19" eb="21">
      <t>シナモノ</t>
    </rPh>
    <rPh sb="22" eb="24">
      <t>キキ</t>
    </rPh>
    <rPh sb="24" eb="25">
      <t>ルイ</t>
    </rPh>
    <rPh sb="26" eb="27">
      <t>フク</t>
    </rPh>
    <rPh sb="28" eb="30">
      <t>ショウシツ</t>
    </rPh>
    <phoneticPr fontId="1"/>
  </si>
  <si>
    <t>IT、人などリソースの復旧演習</t>
  </si>
  <si>
    <t>風評被害や対外的な信用度の低下
流出状況によっては損害賠償も</t>
    <rPh sb="0" eb="2">
      <t>フウヒョウ</t>
    </rPh>
    <rPh sb="2" eb="4">
      <t>ヒガイ</t>
    </rPh>
    <rPh sb="5" eb="8">
      <t>タイガイテキ</t>
    </rPh>
    <rPh sb="9" eb="12">
      <t>シンヨウド</t>
    </rPh>
    <rPh sb="13" eb="15">
      <t>テイカ</t>
    </rPh>
    <rPh sb="16" eb="20">
      <t>リュウシュツジョウキョウ</t>
    </rPh>
    <rPh sb="25" eb="29">
      <t>ソンガイバイショウ</t>
    </rPh>
    <phoneticPr fontId="1"/>
  </si>
  <si>
    <t>－</t>
  </si>
  <si>
    <t>中</t>
    <rPh sb="0" eb="1">
      <t>チュウ</t>
    </rPh>
    <phoneticPr fontId="1"/>
  </si>
  <si>
    <t>状況により大</t>
    <rPh sb="0" eb="2">
      <t>ジョウキョウ</t>
    </rPh>
    <rPh sb="5" eb="6">
      <t>ダイ</t>
    </rPh>
    <phoneticPr fontId="1"/>
  </si>
  <si>
    <t>1階の機器は被害の可能性</t>
    <rPh sb="1" eb="2">
      <t>カイ</t>
    </rPh>
    <rPh sb="3" eb="5">
      <t>キキ</t>
    </rPh>
    <rPh sb="6" eb="8">
      <t>ヒガイ</t>
    </rPh>
    <rPh sb="9" eb="12">
      <t>カノウセイ</t>
    </rPh>
    <phoneticPr fontId="1"/>
  </si>
  <si>
    <t>担当６</t>
    <rPh sb="0" eb="2">
      <t>タントウ</t>
    </rPh>
    <phoneticPr fontId="1"/>
  </si>
  <si>
    <t>システム担当者不足による影響あり</t>
    <rPh sb="4" eb="9">
      <t>タントウシャフソク</t>
    </rPh>
    <rPh sb="12" eb="14">
      <t>エイキョウ</t>
    </rPh>
    <phoneticPr fontId="1"/>
  </si>
  <si>
    <t>主力製品の組立</t>
  </si>
  <si>
    <t>電気、ガス、通信、上下水道すべてに影響</t>
    <rPh sb="0" eb="2">
      <t>デンキ</t>
    </rPh>
    <rPh sb="6" eb="8">
      <t>ツウシン</t>
    </rPh>
    <rPh sb="9" eb="13">
      <t>ジョウゲスイドウ</t>
    </rPh>
    <rPh sb="17" eb="19">
      <t>エイキョウ</t>
    </rPh>
    <phoneticPr fontId="1"/>
  </si>
  <si>
    <t>特定道路が通行不能に</t>
    <rPh sb="0" eb="4">
      <t>トクテイドウロ</t>
    </rPh>
    <rPh sb="5" eb="7">
      <t>ツウコウ</t>
    </rPh>
    <rPh sb="7" eb="9">
      <t>フノウ</t>
    </rPh>
    <phoneticPr fontId="1"/>
  </si>
  <si>
    <t>自社</t>
    <rPh sb="0" eb="2">
      <t>ジシャ</t>
    </rPh>
    <phoneticPr fontId="1"/>
  </si>
  <si>
    <t>管理者　２名</t>
  </si>
  <si>
    <t>システム利用不可</t>
    <rPh sb="4" eb="8">
      <t>リヨウフカ</t>
    </rPh>
    <phoneticPr fontId="1"/>
  </si>
  <si>
    <t>被害は極めて大きく、業務再開に1年以上必要
近隣には被害軽微な地域や事業者がいない</t>
    <rPh sb="0" eb="2">
      <t>ヒガイ</t>
    </rPh>
    <rPh sb="3" eb="4">
      <t>キワ</t>
    </rPh>
    <rPh sb="6" eb="7">
      <t>オオ</t>
    </rPh>
    <rPh sb="10" eb="14">
      <t>ギョウムサイカイ</t>
    </rPh>
    <rPh sb="16" eb="17">
      <t>ネン</t>
    </rPh>
    <rPh sb="17" eb="19">
      <t>イジョウ</t>
    </rPh>
    <rPh sb="19" eb="21">
      <t>ヒツヨウ</t>
    </rPh>
    <rPh sb="22" eb="24">
      <t>キンリン</t>
    </rPh>
    <rPh sb="26" eb="30">
      <t>ヒガイケイビ</t>
    </rPh>
    <rPh sb="31" eb="33">
      <t>チイキ</t>
    </rPh>
    <rPh sb="34" eb="37">
      <t>ジギョウシャ</t>
    </rPh>
    <phoneticPr fontId="1"/>
  </si>
  <si>
    <t>再調達困難度　中</t>
    <rPh sb="3" eb="6">
      <t>コンナンド</t>
    </rPh>
    <rPh sb="7" eb="8">
      <t>チュウ</t>
    </rPh>
    <phoneticPr fontId="1"/>
  </si>
  <si>
    <t>OB社員や応援企業との支援協定</t>
  </si>
  <si>
    <t>購入品</t>
    <rPh sb="0" eb="3">
      <t>コウニュウヒン</t>
    </rPh>
    <phoneticPr fontId="1"/>
  </si>
  <si>
    <t>BCPを最新状態に維持</t>
    <rPh sb="4" eb="6">
      <t>サイシン</t>
    </rPh>
    <rPh sb="6" eb="8">
      <t>ジョウタイ</t>
    </rPh>
    <rPh sb="9" eb="11">
      <t>イジ</t>
    </rPh>
    <phoneticPr fontId="1"/>
  </si>
  <si>
    <t>加工部品</t>
    <rPh sb="0" eb="4">
      <t>カコウブヒン</t>
    </rPh>
    <phoneticPr fontId="1"/>
  </si>
  <si>
    <t>仕入先の被災大、納品不可</t>
    <rPh sb="0" eb="3">
      <t>シイレサキ</t>
    </rPh>
    <rPh sb="4" eb="6">
      <t>ヒサイ</t>
    </rPh>
    <rPh sb="6" eb="7">
      <t>ダイ</t>
    </rPh>
    <rPh sb="8" eb="10">
      <t>ノウヒン</t>
    </rPh>
    <rPh sb="10" eb="12">
      <t>フカ</t>
    </rPh>
    <phoneticPr fontId="1"/>
  </si>
  <si>
    <t>製品により影響が異なるが、全体として５０％強の影響</t>
    <rPh sb="0" eb="2">
      <t>セイヒン</t>
    </rPh>
    <rPh sb="5" eb="7">
      <t>エイキョウ</t>
    </rPh>
    <rPh sb="8" eb="9">
      <t>コト</t>
    </rPh>
    <rPh sb="13" eb="15">
      <t>ゼンタイ</t>
    </rPh>
    <rPh sb="21" eb="22">
      <t>キョウ</t>
    </rPh>
    <rPh sb="23" eb="25">
      <t>エイキョウ</t>
    </rPh>
    <phoneticPr fontId="1"/>
  </si>
  <si>
    <t>類似品の選定、在庫量の見直し、代替仕入れ先の選定</t>
    <rPh sb="0" eb="3">
      <t>ルイジヒン</t>
    </rPh>
    <rPh sb="4" eb="6">
      <t>センテイ</t>
    </rPh>
    <rPh sb="7" eb="10">
      <t>ザイコリョウ</t>
    </rPh>
    <rPh sb="11" eb="13">
      <t>ミナオ</t>
    </rPh>
    <rPh sb="15" eb="17">
      <t>ダイガエ</t>
    </rPh>
    <rPh sb="17" eb="19">
      <t>シイ</t>
    </rPh>
    <rPh sb="20" eb="21">
      <t>サキ</t>
    </rPh>
    <rPh sb="22" eb="24">
      <t>センテイ</t>
    </rPh>
    <phoneticPr fontId="1"/>
  </si>
  <si>
    <t>当面は在庫で対応、類似品や代替先を顧客・商社と協力し確保</t>
    <rPh sb="0" eb="2">
      <t>トウメン</t>
    </rPh>
    <rPh sb="3" eb="5">
      <t>ザイコ</t>
    </rPh>
    <rPh sb="6" eb="8">
      <t>タイオウ</t>
    </rPh>
    <rPh sb="9" eb="12">
      <t>ルイジヒン</t>
    </rPh>
    <rPh sb="13" eb="15">
      <t>ダイガエ</t>
    </rPh>
    <rPh sb="15" eb="16">
      <t>サキ</t>
    </rPh>
    <rPh sb="17" eb="19">
      <t>コキャク</t>
    </rPh>
    <rPh sb="20" eb="22">
      <t>ショウシャ</t>
    </rPh>
    <rPh sb="23" eb="25">
      <t>キョウリョク</t>
    </rPh>
    <rPh sb="26" eb="28">
      <t>カクホ</t>
    </rPh>
    <phoneticPr fontId="1"/>
  </si>
  <si>
    <t>代替調達先の確保（商社・顧客への協力依頼）</t>
    <rPh sb="0" eb="2">
      <t>ダイガエ</t>
    </rPh>
    <rPh sb="2" eb="5">
      <t>チョウタツサキ</t>
    </rPh>
    <rPh sb="6" eb="8">
      <t>カクホ</t>
    </rPh>
    <rPh sb="9" eb="11">
      <t>ショウシャ</t>
    </rPh>
    <rPh sb="12" eb="14">
      <t>コキャク</t>
    </rPh>
    <rPh sb="16" eb="18">
      <t>キョウリョク</t>
    </rPh>
    <rPh sb="18" eb="20">
      <t>イライ</t>
    </rPh>
    <phoneticPr fontId="1"/>
  </si>
  <si>
    <t>道路通行禁止箇所多い
輸送業者業務停止</t>
    <rPh sb="0" eb="2">
      <t>ドウロ</t>
    </rPh>
    <rPh sb="2" eb="6">
      <t>ツウコウキンシ</t>
    </rPh>
    <rPh sb="6" eb="8">
      <t>カショ</t>
    </rPh>
    <rPh sb="8" eb="9">
      <t>オオ</t>
    </rPh>
    <rPh sb="11" eb="15">
      <t>ユソウギョウシャ</t>
    </rPh>
    <rPh sb="15" eb="19">
      <t>ギョウムテイシ</t>
    </rPh>
    <phoneticPr fontId="1"/>
  </si>
  <si>
    <t>在庫数量の見直しと代替調達先を確保する</t>
    <rPh sb="0" eb="4">
      <t>ザイコスウリョウ</t>
    </rPh>
    <rPh sb="5" eb="7">
      <t>ミナオ</t>
    </rPh>
    <rPh sb="9" eb="11">
      <t>ダイガエ</t>
    </rPh>
    <rPh sb="11" eb="14">
      <t>チョウタツサキ</t>
    </rPh>
    <rPh sb="15" eb="17">
      <t>カクホ</t>
    </rPh>
    <phoneticPr fontId="1"/>
  </si>
  <si>
    <t>冷却設備</t>
    <rPh sb="0" eb="4">
      <t>レイキャクセツビ</t>
    </rPh>
    <phoneticPr fontId="1"/>
  </si>
  <si>
    <t>フライス・旋盤</t>
    <rPh sb="5" eb="7">
      <t>センバン</t>
    </rPh>
    <phoneticPr fontId="1"/>
  </si>
  <si>
    <t>設備損壊</t>
    <rPh sb="0" eb="2">
      <t>セツビ</t>
    </rPh>
    <rPh sb="2" eb="4">
      <t>ソンカイ</t>
    </rPh>
    <phoneticPr fontId="1"/>
  </si>
  <si>
    <t>対応能力５０％以上減</t>
    <rPh sb="0" eb="4">
      <t>タイオウノウリョク</t>
    </rPh>
    <rPh sb="7" eb="10">
      <t>イジョウゲン</t>
    </rPh>
    <phoneticPr fontId="1"/>
  </si>
  <si>
    <t>対応能力３０％以上減</t>
    <rPh sb="7" eb="9">
      <t>イジョウ</t>
    </rPh>
    <rPh sb="9" eb="10">
      <t>ゲン</t>
    </rPh>
    <phoneticPr fontId="1"/>
  </si>
  <si>
    <t>設備の耐震化の強化等で強震による設備被害を軽減する</t>
    <rPh sb="0" eb="2">
      <t>セツビ</t>
    </rPh>
    <rPh sb="3" eb="6">
      <t>タイシンカ</t>
    </rPh>
    <rPh sb="7" eb="10">
      <t>キョウカトウ</t>
    </rPh>
    <rPh sb="11" eb="13">
      <t>キョウシン</t>
    </rPh>
    <rPh sb="16" eb="18">
      <t>セツビ</t>
    </rPh>
    <rPh sb="18" eb="20">
      <t>ヒガイ</t>
    </rPh>
    <rPh sb="21" eb="23">
      <t>ケイゲン</t>
    </rPh>
    <phoneticPr fontId="1"/>
  </si>
  <si>
    <t>再調達困難度　小</t>
    <rPh sb="3" eb="6">
      <t>コンナンド</t>
    </rPh>
    <rPh sb="7" eb="8">
      <t>ショウ</t>
    </rPh>
    <phoneticPr fontId="1"/>
  </si>
  <si>
    <t>自社による復旧スキル向上、支援企業との支援協定締結</t>
  </si>
  <si>
    <t>部品倉庫</t>
    <rPh sb="0" eb="4">
      <t>ブヒンソウコ</t>
    </rPh>
    <phoneticPr fontId="1"/>
  </si>
  <si>
    <t>工場内設備（電気、配管、搬送機等）</t>
    <rPh sb="0" eb="3">
      <t>コウジョウナイ</t>
    </rPh>
    <rPh sb="3" eb="5">
      <t>セツビ</t>
    </rPh>
    <rPh sb="6" eb="8">
      <t>デンキ</t>
    </rPh>
    <rPh sb="9" eb="11">
      <t>ハイカン</t>
    </rPh>
    <rPh sb="12" eb="15">
      <t>ハンソウキ</t>
    </rPh>
    <rPh sb="15" eb="16">
      <t>トウ</t>
    </rPh>
    <phoneticPr fontId="1"/>
  </si>
  <si>
    <t>一部損傷</t>
    <rPh sb="0" eb="4">
      <t>イチブソンショウ</t>
    </rPh>
    <phoneticPr fontId="1"/>
  </si>
  <si>
    <t>工場内設備の損壊</t>
    <rPh sb="0" eb="3">
      <t>コウジョウナイ</t>
    </rPh>
    <rPh sb="3" eb="5">
      <t>セツビ</t>
    </rPh>
    <rPh sb="6" eb="8">
      <t>ソンカイ</t>
    </rPh>
    <phoneticPr fontId="1"/>
  </si>
  <si>
    <t>対応能力３０％以上減</t>
    <rPh sb="0" eb="4">
      <t>タイオウノウリョク</t>
    </rPh>
    <rPh sb="7" eb="10">
      <t>イジョウゲン</t>
    </rPh>
    <phoneticPr fontId="1"/>
  </si>
  <si>
    <t>倉庫・設備等の耐震化強化</t>
    <rPh sb="0" eb="2">
      <t>ソウコ</t>
    </rPh>
    <rPh sb="3" eb="5">
      <t>セツビ</t>
    </rPh>
    <rPh sb="5" eb="6">
      <t>トウ</t>
    </rPh>
    <rPh sb="7" eb="10">
      <t>タイシンカ</t>
    </rPh>
    <rPh sb="10" eb="12">
      <t>キョウカ</t>
    </rPh>
    <phoneticPr fontId="1"/>
  </si>
  <si>
    <t>設備類の耐震化強化
自社復旧能力の向上</t>
    <rPh sb="0" eb="3">
      <t>セツビルイ</t>
    </rPh>
    <rPh sb="4" eb="9">
      <t>タイシンカキョウカ</t>
    </rPh>
    <rPh sb="10" eb="12">
      <t>ジシャ</t>
    </rPh>
    <rPh sb="12" eb="14">
      <t>フッキュウ</t>
    </rPh>
    <rPh sb="14" eb="16">
      <t>ノウリョク</t>
    </rPh>
    <rPh sb="17" eb="19">
      <t>コウジョウ</t>
    </rPh>
    <phoneticPr fontId="1"/>
  </si>
  <si>
    <t>自社による復旧または補修業者に依頼し復旧</t>
    <rPh sb="10" eb="12">
      <t>ホシュウ</t>
    </rPh>
    <rPh sb="12" eb="14">
      <t>ギョウシャ</t>
    </rPh>
    <rPh sb="15" eb="17">
      <t>イライ</t>
    </rPh>
    <rPh sb="18" eb="20">
      <t>フッキュウ</t>
    </rPh>
    <phoneticPr fontId="1"/>
  </si>
  <si>
    <t>経理システム</t>
    <rPh sb="0" eb="2">
      <t>ケイリ</t>
    </rPh>
    <phoneticPr fontId="1"/>
  </si>
  <si>
    <t>技術情報システム</t>
    <rPh sb="0" eb="2">
      <t>ギジュツ</t>
    </rPh>
    <rPh sb="2" eb="4">
      <t>ジョウホウ</t>
    </rPh>
    <phoneticPr fontId="1"/>
  </si>
  <si>
    <t>受発注システム</t>
    <rPh sb="0" eb="3">
      <t>ジュハッチュウ</t>
    </rPh>
    <phoneticPr fontId="1"/>
  </si>
  <si>
    <t>システム機器の損壊</t>
    <rPh sb="4" eb="6">
      <t>キキ</t>
    </rPh>
    <rPh sb="7" eb="9">
      <t>ソンカイ</t>
    </rPh>
    <phoneticPr fontId="1"/>
  </si>
  <si>
    <t>システム利用不可
会計事務所で対応可能</t>
    <rPh sb="4" eb="8">
      <t>リヨウフカ</t>
    </rPh>
    <rPh sb="9" eb="11">
      <t>カイケイ</t>
    </rPh>
    <rPh sb="11" eb="14">
      <t>ジムショ</t>
    </rPh>
    <rPh sb="15" eb="17">
      <t>タイオウ</t>
    </rPh>
    <rPh sb="17" eb="19">
      <t>カノウ</t>
    </rPh>
    <phoneticPr fontId="1"/>
  </si>
  <si>
    <t>BCP導入時
対象者変更時</t>
  </si>
  <si>
    <t>代替のサーバーとPCを利用し、データ、システムを復元し対応</t>
    <rPh sb="0" eb="2">
      <t>ダイガエ</t>
    </rPh>
    <rPh sb="11" eb="13">
      <t>リヨウ</t>
    </rPh>
    <rPh sb="24" eb="26">
      <t>フクゲン</t>
    </rPh>
    <rPh sb="27" eb="29">
      <t>タイオウ</t>
    </rPh>
    <phoneticPr fontId="1"/>
  </si>
  <si>
    <t>WEB対応で対応（インターネット接続可能環境で）</t>
    <rPh sb="3" eb="5">
      <t>タイオウ</t>
    </rPh>
    <rPh sb="6" eb="8">
      <t>タイオウ</t>
    </rPh>
    <rPh sb="16" eb="18">
      <t>セツゾク</t>
    </rPh>
    <rPh sb="18" eb="22">
      <t>カノウカンキョウ</t>
    </rPh>
    <phoneticPr fontId="1"/>
  </si>
  <si>
    <t>自社での対応技術を習得、システムサポート会社の協力体制構築</t>
    <rPh sb="0" eb="2">
      <t>ジシャ</t>
    </rPh>
    <rPh sb="4" eb="8">
      <t>タイオウギジュツ</t>
    </rPh>
    <rPh sb="9" eb="11">
      <t>シュウトク</t>
    </rPh>
    <rPh sb="20" eb="22">
      <t>ガイシャ</t>
    </rPh>
    <rPh sb="23" eb="27">
      <t>キョウリョクタイセイ</t>
    </rPh>
    <rPh sb="27" eb="29">
      <t>コウチク</t>
    </rPh>
    <phoneticPr fontId="1"/>
  </si>
  <si>
    <t>設備メンテナンス業者</t>
    <rPh sb="0" eb="2">
      <t>セツビ</t>
    </rPh>
    <rPh sb="8" eb="10">
      <t>ギョウシャ</t>
    </rPh>
    <phoneticPr fontId="1"/>
  </si>
  <si>
    <t>修理等を必要とするとき対応が不可</t>
    <rPh sb="0" eb="2">
      <t>シュウリ</t>
    </rPh>
    <rPh sb="2" eb="3">
      <t>トウ</t>
    </rPh>
    <rPh sb="4" eb="6">
      <t>ヒツヨウ</t>
    </rPh>
    <rPh sb="11" eb="13">
      <t>タイオウ</t>
    </rPh>
    <rPh sb="14" eb="16">
      <t>フカ</t>
    </rPh>
    <phoneticPr fontId="1"/>
  </si>
  <si>
    <t>緊急時対応の代替業者の確保
設備借用または生産代行の支援企業の確保</t>
    <rPh sb="0" eb="5">
      <t>キンキュウジタイオウ</t>
    </rPh>
    <rPh sb="6" eb="8">
      <t>ダイガエ</t>
    </rPh>
    <rPh sb="8" eb="10">
      <t>ギョウシャ</t>
    </rPh>
    <rPh sb="11" eb="13">
      <t>カクホ</t>
    </rPh>
    <rPh sb="14" eb="16">
      <t>セツビ</t>
    </rPh>
    <rPh sb="16" eb="18">
      <t>シャクヨウ</t>
    </rPh>
    <rPh sb="21" eb="23">
      <t>セイサン</t>
    </rPh>
    <rPh sb="23" eb="25">
      <t>ダイコウ</t>
    </rPh>
    <rPh sb="26" eb="30">
      <t>シエンキギョウ</t>
    </rPh>
    <rPh sb="31" eb="33">
      <t>カクホ</t>
    </rPh>
    <phoneticPr fontId="1"/>
  </si>
  <si>
    <t>自社で対応、または支援企業の設備借用、生産委託などを検討</t>
    <rPh sb="0" eb="2">
      <t>ジシャ</t>
    </rPh>
    <rPh sb="3" eb="5">
      <t>タイオウ</t>
    </rPh>
    <rPh sb="9" eb="11">
      <t>シエン</t>
    </rPh>
    <rPh sb="11" eb="13">
      <t>キギョウ</t>
    </rPh>
    <rPh sb="14" eb="18">
      <t>セツビシャクヨウ</t>
    </rPh>
    <rPh sb="19" eb="21">
      <t>セイサン</t>
    </rPh>
    <rPh sb="21" eb="23">
      <t>イタク</t>
    </rPh>
    <rPh sb="26" eb="28">
      <t>ケントウ</t>
    </rPh>
    <phoneticPr fontId="1"/>
  </si>
  <si>
    <t>システム再構築は中</t>
    <rPh sb="4" eb="7">
      <t>サイコウチク</t>
    </rPh>
    <rPh sb="8" eb="9">
      <t>チュウ</t>
    </rPh>
    <phoneticPr fontId="1"/>
  </si>
  <si>
    <t>自社による復旧スキル向上、支援企業との支援協定締結による対応力向上</t>
    <rPh sb="28" eb="33">
      <t>タイオウリョクコウジョウ</t>
    </rPh>
    <phoneticPr fontId="1"/>
  </si>
  <si>
    <t>自社対応の技術力向上
予備設備の確保
支援先企業の確保</t>
    <rPh sb="0" eb="4">
      <t>ジシャタイオウ</t>
    </rPh>
    <rPh sb="5" eb="7">
      <t>ギジュツ</t>
    </rPh>
    <rPh sb="7" eb="8">
      <t>リョク</t>
    </rPh>
    <rPh sb="8" eb="10">
      <t>コウジョウ</t>
    </rPh>
    <rPh sb="11" eb="15">
      <t>ヨビセツビ</t>
    </rPh>
    <rPh sb="16" eb="18">
      <t>カクホ</t>
    </rPh>
    <rPh sb="19" eb="22">
      <t>シエンサキ</t>
    </rPh>
    <rPh sb="22" eb="24">
      <t>キギョウ</t>
    </rPh>
    <rPh sb="25" eb="27">
      <t>カクホ</t>
    </rPh>
    <phoneticPr fontId="1"/>
  </si>
  <si>
    <t>通信</t>
    <rPh sb="0" eb="2">
      <t>ツウシン</t>
    </rPh>
    <phoneticPr fontId="1"/>
  </si>
  <si>
    <t>上水道</t>
    <rPh sb="0" eb="3">
      <t>ジョウスイドウ</t>
    </rPh>
    <phoneticPr fontId="1"/>
  </si>
  <si>
    <t>10日程度停電で工場設備、システム機器等すべて停止</t>
    <rPh sb="2" eb="3">
      <t>ニチ</t>
    </rPh>
    <rPh sb="3" eb="5">
      <t>テイド</t>
    </rPh>
    <rPh sb="5" eb="7">
      <t>テイデン</t>
    </rPh>
    <rPh sb="8" eb="12">
      <t>コウジョウセツビ</t>
    </rPh>
    <rPh sb="17" eb="19">
      <t>キキ</t>
    </rPh>
    <rPh sb="19" eb="20">
      <t>トウ</t>
    </rPh>
    <rPh sb="23" eb="25">
      <t>テイシ</t>
    </rPh>
    <phoneticPr fontId="1"/>
  </si>
  <si>
    <t>納入や納品への影響大</t>
    <rPh sb="0" eb="2">
      <t>ノウニュウ</t>
    </rPh>
    <rPh sb="3" eb="5">
      <t>ノウヒン</t>
    </rPh>
    <rPh sb="7" eb="9">
      <t>エイキョウ</t>
    </rPh>
    <rPh sb="9" eb="10">
      <t>ダイ</t>
    </rPh>
    <phoneticPr fontId="1"/>
  </si>
  <si>
    <t>固定回線は復旧が遅れるため影響大、モバイル回線の復旧は早く影響は中</t>
    <rPh sb="0" eb="4">
      <t>コテイカイセン</t>
    </rPh>
    <rPh sb="5" eb="7">
      <t>フッキュウ</t>
    </rPh>
    <rPh sb="8" eb="9">
      <t>オク</t>
    </rPh>
    <rPh sb="13" eb="15">
      <t>エイキョウ</t>
    </rPh>
    <rPh sb="15" eb="16">
      <t>ダイ</t>
    </rPh>
    <rPh sb="21" eb="23">
      <t>カイセン</t>
    </rPh>
    <rPh sb="24" eb="26">
      <t>フッキュウ</t>
    </rPh>
    <rPh sb="27" eb="28">
      <t>ハヤ</t>
    </rPh>
    <rPh sb="29" eb="31">
      <t>エイキョウ</t>
    </rPh>
    <rPh sb="32" eb="33">
      <t>チュウ</t>
    </rPh>
    <phoneticPr fontId="1"/>
  </si>
  <si>
    <t>在庫の見直し、中間倉庫の立地検討</t>
    <rPh sb="0" eb="2">
      <t>ザイコ</t>
    </rPh>
    <rPh sb="3" eb="5">
      <t>ミナオ</t>
    </rPh>
    <rPh sb="7" eb="9">
      <t>チュウカン</t>
    </rPh>
    <rPh sb="9" eb="11">
      <t>ソウコ</t>
    </rPh>
    <rPh sb="12" eb="14">
      <t>リッチ</t>
    </rPh>
    <rPh sb="14" eb="16">
      <t>ケントウ</t>
    </rPh>
    <phoneticPr fontId="1"/>
  </si>
  <si>
    <t>モバイル回線によるデータ通信環境の確保</t>
    <rPh sb="4" eb="6">
      <t>カイセン</t>
    </rPh>
    <rPh sb="12" eb="14">
      <t>ツウシン</t>
    </rPh>
    <rPh sb="14" eb="16">
      <t>カンキョウ</t>
    </rPh>
    <rPh sb="17" eb="19">
      <t>カクホ</t>
    </rPh>
    <phoneticPr fontId="1"/>
  </si>
  <si>
    <t>自家発電設備で最小限の電力確保</t>
    <rPh sb="0" eb="4">
      <t>ジカハツデン</t>
    </rPh>
    <rPh sb="4" eb="6">
      <t>セツビ</t>
    </rPh>
    <rPh sb="7" eb="10">
      <t>サイショウゲン</t>
    </rPh>
    <rPh sb="11" eb="13">
      <t>デンリョク</t>
    </rPh>
    <rPh sb="13" eb="15">
      <t>カクホ</t>
    </rPh>
    <phoneticPr fontId="1"/>
  </si>
  <si>
    <t>備蓄の確保
井戸利用を検討</t>
    <rPh sb="0" eb="2">
      <t>ビチク</t>
    </rPh>
    <rPh sb="3" eb="5">
      <t>カクホ</t>
    </rPh>
    <rPh sb="6" eb="8">
      <t>イド</t>
    </rPh>
    <rPh sb="8" eb="10">
      <t>リヨウ</t>
    </rPh>
    <rPh sb="11" eb="13">
      <t>ケントウ</t>
    </rPh>
    <phoneticPr fontId="1"/>
  </si>
  <si>
    <t>軽量品は、バイク等での搬送も検討する
通行可能ルートの探索とルート決定</t>
    <rPh sb="0" eb="2">
      <t>ケイリョウ</t>
    </rPh>
    <rPh sb="2" eb="3">
      <t>ヒン</t>
    </rPh>
    <rPh sb="8" eb="9">
      <t>トウ</t>
    </rPh>
    <rPh sb="11" eb="13">
      <t>ハンソウ</t>
    </rPh>
    <rPh sb="14" eb="16">
      <t>ケントウ</t>
    </rPh>
    <rPh sb="19" eb="21">
      <t>ツウコウ</t>
    </rPh>
    <rPh sb="21" eb="23">
      <t>カノウ</t>
    </rPh>
    <rPh sb="27" eb="29">
      <t>タンサク</t>
    </rPh>
    <rPh sb="33" eb="35">
      <t>ケッテイ</t>
    </rPh>
    <phoneticPr fontId="1"/>
  </si>
  <si>
    <t>モバイル通信可能な地域でデータ通信業務を行う</t>
    <rPh sb="4" eb="6">
      <t>ツウシン</t>
    </rPh>
    <rPh sb="6" eb="8">
      <t>カノウ</t>
    </rPh>
    <rPh sb="9" eb="11">
      <t>チイキ</t>
    </rPh>
    <rPh sb="15" eb="17">
      <t>ツウシン</t>
    </rPh>
    <rPh sb="17" eb="19">
      <t>ギョウム</t>
    </rPh>
    <rPh sb="20" eb="21">
      <t>オコナ</t>
    </rPh>
    <phoneticPr fontId="1"/>
  </si>
  <si>
    <t>停電が長期化するときは、通電地区の企業の支援をもらう</t>
    <rPh sb="0" eb="2">
      <t>テイデン</t>
    </rPh>
    <rPh sb="3" eb="6">
      <t>チョウキカ</t>
    </rPh>
    <rPh sb="12" eb="16">
      <t>ツウデンチク</t>
    </rPh>
    <rPh sb="17" eb="19">
      <t>キギョウ</t>
    </rPh>
    <rPh sb="20" eb="22">
      <t>シエン</t>
    </rPh>
    <phoneticPr fontId="1"/>
  </si>
  <si>
    <t>当面は備蓄の水で対応する
近隣の協力で水を確保</t>
    <rPh sb="0" eb="2">
      <t>トウメン</t>
    </rPh>
    <rPh sb="3" eb="5">
      <t>ビチク</t>
    </rPh>
    <rPh sb="6" eb="7">
      <t>ミズ</t>
    </rPh>
    <rPh sb="8" eb="10">
      <t>タイオウ</t>
    </rPh>
    <rPh sb="13" eb="15">
      <t>キンリン</t>
    </rPh>
    <rPh sb="16" eb="18">
      <t>キョウリョク</t>
    </rPh>
    <rPh sb="19" eb="20">
      <t>ミズ</t>
    </rPh>
    <rPh sb="21" eb="23">
      <t>カクホ</t>
    </rPh>
    <phoneticPr fontId="1"/>
  </si>
  <si>
    <t>困難度　小</t>
    <rPh sb="0" eb="3">
      <t>コンナンド</t>
    </rPh>
    <rPh sb="4" eb="5">
      <t>ショウ</t>
    </rPh>
    <phoneticPr fontId="1"/>
  </si>
  <si>
    <t>倉庫の立地検討、客先との在庫量の調整</t>
    <rPh sb="0" eb="2">
      <t>ソウコ</t>
    </rPh>
    <rPh sb="3" eb="5">
      <t>リッチ</t>
    </rPh>
    <rPh sb="5" eb="7">
      <t>ケントウ</t>
    </rPh>
    <rPh sb="8" eb="10">
      <t>キャクサキ</t>
    </rPh>
    <rPh sb="12" eb="14">
      <t>ザイコ</t>
    </rPh>
    <rPh sb="14" eb="15">
      <t>リョウ</t>
    </rPh>
    <rPh sb="16" eb="18">
      <t>チョウセイ</t>
    </rPh>
    <phoneticPr fontId="1"/>
  </si>
  <si>
    <t>モバイル通信機器の準備
ノートPC,タブレットでの業務可能に</t>
    <rPh sb="4" eb="8">
      <t>ツウシンキキ</t>
    </rPh>
    <rPh sb="9" eb="11">
      <t>ジュンビ</t>
    </rPh>
    <rPh sb="25" eb="27">
      <t>ギョウム</t>
    </rPh>
    <rPh sb="27" eb="29">
      <t>カノウ</t>
    </rPh>
    <phoneticPr fontId="1"/>
  </si>
  <si>
    <t>中距離・遠隔地の支援協力企業の確保</t>
    <rPh sb="0" eb="1">
      <t>チュウ</t>
    </rPh>
    <rPh sb="1" eb="3">
      <t>キョリ</t>
    </rPh>
    <rPh sb="4" eb="7">
      <t>エンカクチ</t>
    </rPh>
    <rPh sb="8" eb="10">
      <t>シエン</t>
    </rPh>
    <rPh sb="10" eb="12">
      <t>キョウリョク</t>
    </rPh>
    <rPh sb="12" eb="14">
      <t>キギョウ</t>
    </rPh>
    <rPh sb="15" eb="17">
      <t>カクホ</t>
    </rPh>
    <phoneticPr fontId="1"/>
  </si>
  <si>
    <t>必要量の備蓄
近隣での水確保のための方策を検討</t>
    <rPh sb="0" eb="2">
      <t>ヒツヨウ</t>
    </rPh>
    <rPh sb="2" eb="3">
      <t>リョウ</t>
    </rPh>
    <rPh sb="4" eb="6">
      <t>ビチク</t>
    </rPh>
    <rPh sb="7" eb="9">
      <t>キンリン</t>
    </rPh>
    <rPh sb="11" eb="12">
      <t>ミズ</t>
    </rPh>
    <rPh sb="12" eb="14">
      <t>カクホ</t>
    </rPh>
    <rPh sb="18" eb="20">
      <t>ホウサク</t>
    </rPh>
    <rPh sb="21" eb="23">
      <t>ケントウ</t>
    </rPh>
    <phoneticPr fontId="1"/>
  </si>
  <si>
    <t>二次災害の防止</t>
    <rPh sb="0" eb="4">
      <t>ニジサイガイ</t>
    </rPh>
    <rPh sb="5" eb="7">
      <t>ボウシ</t>
    </rPh>
    <phoneticPr fontId="1"/>
  </si>
  <si>
    <t>被害速報収集</t>
    <rPh sb="0" eb="4">
      <t>ヒガイソクホウ</t>
    </rPh>
    <rPh sb="4" eb="6">
      <t>シュウシュウ</t>
    </rPh>
    <phoneticPr fontId="1"/>
  </si>
  <si>
    <t>発災時・直後</t>
    <rPh sb="0" eb="3">
      <t>ハッサイジ</t>
    </rPh>
    <rPh sb="4" eb="6">
      <t>チョクゴ</t>
    </rPh>
    <phoneticPr fontId="1"/>
  </si>
  <si>
    <t>発災直後</t>
    <rPh sb="0" eb="2">
      <t>ハッサイ</t>
    </rPh>
    <rPh sb="2" eb="4">
      <t>チョクゴ</t>
    </rPh>
    <phoneticPr fontId="1"/>
  </si>
  <si>
    <t>発災直後</t>
    <rPh sb="0" eb="4">
      <t>ハッサイチョクゴ</t>
    </rPh>
    <phoneticPr fontId="1"/>
  </si>
  <si>
    <t>発災後1時間以内</t>
    <rPh sb="0" eb="3">
      <t>ハッサイゴ</t>
    </rPh>
    <rPh sb="4" eb="8">
      <t>ジカンイナイ</t>
    </rPh>
    <phoneticPr fontId="1"/>
  </si>
  <si>
    <t>発災後1時間以内</t>
    <rPh sb="0" eb="2">
      <t>ハッサイ</t>
    </rPh>
    <rPh sb="2" eb="3">
      <t>ゴ</t>
    </rPh>
    <rPh sb="4" eb="6">
      <t>ジカン</t>
    </rPh>
    <rPh sb="6" eb="8">
      <t>イナイ</t>
    </rPh>
    <phoneticPr fontId="1"/>
  </si>
  <si>
    <t>部屋等へのとじ込み、落下物等でのけがや下敷き者の救出</t>
    <rPh sb="0" eb="2">
      <t>ヘヤ</t>
    </rPh>
    <rPh sb="2" eb="3">
      <t>トウ</t>
    </rPh>
    <rPh sb="7" eb="8">
      <t>コ</t>
    </rPh>
    <rPh sb="10" eb="14">
      <t>ラッカブツトウ</t>
    </rPh>
    <rPh sb="19" eb="21">
      <t>シタジ</t>
    </rPh>
    <rPh sb="22" eb="23">
      <t>シャ</t>
    </rPh>
    <rPh sb="24" eb="26">
      <t>キュウシュツ</t>
    </rPh>
    <phoneticPr fontId="1"/>
  </si>
  <si>
    <t>火災による延焼や有毒物の漏洩の防止など
ガス漏れ、可燃物の漏洩防止など</t>
    <rPh sb="0" eb="2">
      <t>カサイ</t>
    </rPh>
    <rPh sb="5" eb="7">
      <t>エンショウ</t>
    </rPh>
    <rPh sb="8" eb="11">
      <t>ユウドクブツ</t>
    </rPh>
    <rPh sb="12" eb="14">
      <t>ロウエイ</t>
    </rPh>
    <rPh sb="15" eb="17">
      <t>ボウシ</t>
    </rPh>
    <rPh sb="22" eb="23">
      <t>モ</t>
    </rPh>
    <rPh sb="25" eb="28">
      <t>カネンブツ</t>
    </rPh>
    <rPh sb="29" eb="31">
      <t>ロウエイ</t>
    </rPh>
    <rPh sb="31" eb="33">
      <t>ボウシ</t>
    </rPh>
    <phoneticPr fontId="1"/>
  </si>
  <si>
    <t>被害状況把握の速報版で被災状況を報告</t>
    <rPh sb="0" eb="6">
      <t>ヒガイジョウキョウハアク</t>
    </rPh>
    <rPh sb="7" eb="10">
      <t>ソクホウバン</t>
    </rPh>
    <rPh sb="11" eb="15">
      <t>ヒサイジョウキョウ</t>
    </rPh>
    <rPh sb="16" eb="18">
      <t>ホウコク</t>
    </rPh>
    <phoneticPr fontId="1"/>
  </si>
  <si>
    <t>対策本部メンバーの参集
対策本部立ち上げ
被災状況の速報状況把握
当面１週間の計画決定＆指示</t>
    <rPh sb="0" eb="4">
      <t>タイサクホンブ</t>
    </rPh>
    <rPh sb="9" eb="11">
      <t>サンシュウ</t>
    </rPh>
    <rPh sb="12" eb="16">
      <t>タイサクホンブ</t>
    </rPh>
    <rPh sb="16" eb="17">
      <t>タ</t>
    </rPh>
    <rPh sb="18" eb="19">
      <t>ア</t>
    </rPh>
    <rPh sb="21" eb="25">
      <t>ヒサイジョウキョウ</t>
    </rPh>
    <rPh sb="26" eb="28">
      <t>ソクホウ</t>
    </rPh>
    <rPh sb="28" eb="30">
      <t>ジョウキョウ</t>
    </rPh>
    <rPh sb="30" eb="32">
      <t>ハアク</t>
    </rPh>
    <rPh sb="33" eb="35">
      <t>トウメン</t>
    </rPh>
    <rPh sb="36" eb="38">
      <t>シュウカン</t>
    </rPh>
    <rPh sb="39" eb="41">
      <t>ケイカク</t>
    </rPh>
    <rPh sb="41" eb="43">
      <t>ケッテイ</t>
    </rPh>
    <rPh sb="44" eb="46">
      <t>シジ</t>
    </rPh>
    <phoneticPr fontId="1"/>
  </si>
  <si>
    <t>HP等で現状での被災状況を発信する</t>
    <rPh sb="2" eb="3">
      <t>トウ</t>
    </rPh>
    <rPh sb="4" eb="6">
      <t>ゲンジョウ</t>
    </rPh>
    <rPh sb="8" eb="12">
      <t>ヒサイジョウキョウ</t>
    </rPh>
    <rPh sb="13" eb="15">
      <t>ハッシン</t>
    </rPh>
    <phoneticPr fontId="1"/>
  </si>
  <si>
    <t>各現場責任者または代行者</t>
    <rPh sb="0" eb="6">
      <t>カクゲンバセキニンシャ</t>
    </rPh>
    <rPh sb="9" eb="12">
      <t>ダイコウシャ</t>
    </rPh>
    <phoneticPr fontId="1"/>
  </si>
  <si>
    <t>救出班メンバー</t>
    <rPh sb="0" eb="3">
      <t>キュウシュツハン</t>
    </rPh>
    <phoneticPr fontId="1"/>
  </si>
  <si>
    <t>二次災害防止担当</t>
    <rPh sb="0" eb="4">
      <t>ニジサイガイ</t>
    </rPh>
    <rPh sb="4" eb="8">
      <t>ボウシタントウ</t>
    </rPh>
    <phoneticPr fontId="1"/>
  </si>
  <si>
    <t>状況に応じ、適切に救出する</t>
    <rPh sb="0" eb="2">
      <t>ジョウキョウ</t>
    </rPh>
    <rPh sb="3" eb="4">
      <t>オウ</t>
    </rPh>
    <rPh sb="6" eb="8">
      <t>テキセツ</t>
    </rPh>
    <rPh sb="9" eb="11">
      <t>キュウシュツ</t>
    </rPh>
    <phoneticPr fontId="1"/>
  </si>
  <si>
    <t>LINE等を利用
写真を効果的に活用</t>
    <rPh sb="4" eb="5">
      <t>トウ</t>
    </rPh>
    <rPh sb="6" eb="8">
      <t>リヨウ</t>
    </rPh>
    <rPh sb="9" eb="11">
      <t>シャシン</t>
    </rPh>
    <rPh sb="12" eb="15">
      <t>コウカテキ</t>
    </rPh>
    <rPh sb="16" eb="18">
      <t>カツヨウ</t>
    </rPh>
    <phoneticPr fontId="1"/>
  </si>
  <si>
    <t>緊急地震速報と連動アナウンスできる仕組み
状況報告・情報共有の仕組み</t>
    <rPh sb="0" eb="4">
      <t>キンキュウジシン</t>
    </rPh>
    <rPh sb="4" eb="6">
      <t>ソクホウ</t>
    </rPh>
    <rPh sb="7" eb="9">
      <t>レンドウ</t>
    </rPh>
    <rPh sb="17" eb="19">
      <t>シク</t>
    </rPh>
    <rPh sb="21" eb="25">
      <t>ジョウキョウホウコク</t>
    </rPh>
    <rPh sb="26" eb="30">
      <t>ジョウホウキョウユウ</t>
    </rPh>
    <rPh sb="31" eb="33">
      <t>シクミ</t>
    </rPh>
    <phoneticPr fontId="1"/>
  </si>
  <si>
    <t>危険個所掲示版
トラ柄ロープ</t>
    <rPh sb="0" eb="4">
      <t>キケンカショ</t>
    </rPh>
    <rPh sb="4" eb="6">
      <t>ケイジ</t>
    </rPh>
    <rPh sb="6" eb="7">
      <t>バン</t>
    </rPh>
    <rPh sb="10" eb="11">
      <t>ガラ</t>
    </rPh>
    <phoneticPr fontId="1"/>
  </si>
  <si>
    <t>顧客用・従業員用ヘルメット</t>
    <rPh sb="0" eb="3">
      <t>コキャクヨウ</t>
    </rPh>
    <rPh sb="4" eb="7">
      <t>ジュウギョウイン</t>
    </rPh>
    <rPh sb="7" eb="8">
      <t>ヨウ</t>
    </rPh>
    <phoneticPr fontId="1"/>
  </si>
  <si>
    <t>担架、包帯、止血帯、添え木など</t>
    <rPh sb="0" eb="2">
      <t>タンカ</t>
    </rPh>
    <rPh sb="3" eb="5">
      <t>ホウタイ</t>
    </rPh>
    <rPh sb="6" eb="8">
      <t>シケツ</t>
    </rPh>
    <rPh sb="8" eb="9">
      <t>タイ</t>
    </rPh>
    <rPh sb="10" eb="11">
      <t>ソ</t>
    </rPh>
    <rPh sb="12" eb="13">
      <t>ギ</t>
    </rPh>
    <phoneticPr fontId="1"/>
  </si>
  <si>
    <t>水１週間分</t>
    <rPh sb="0" eb="1">
      <t>ミズ</t>
    </rPh>
    <rPh sb="2" eb="4">
      <t>シュウカン</t>
    </rPh>
    <rPh sb="4" eb="5">
      <t>ブン</t>
    </rPh>
    <phoneticPr fontId="1"/>
  </si>
  <si>
    <t>１００％救出</t>
    <rPh sb="4" eb="6">
      <t>キュウシュツ</t>
    </rPh>
    <phoneticPr fontId="1"/>
  </si>
  <si>
    <t>避難場所、避難経路の確認
避難手順の確認
責任者不在時、代行者の決め方</t>
    <rPh sb="0" eb="4">
      <t>ヒナンバショ</t>
    </rPh>
    <rPh sb="5" eb="9">
      <t>ヒナンケイロ</t>
    </rPh>
    <rPh sb="10" eb="12">
      <t>カクニン</t>
    </rPh>
    <rPh sb="13" eb="15">
      <t>ヒナン</t>
    </rPh>
    <rPh sb="15" eb="17">
      <t>テジュン</t>
    </rPh>
    <rPh sb="18" eb="20">
      <t>カクニン</t>
    </rPh>
    <rPh sb="21" eb="24">
      <t>セキニンシャ</t>
    </rPh>
    <rPh sb="24" eb="27">
      <t>フザイジ</t>
    </rPh>
    <rPh sb="28" eb="31">
      <t>ダイコウシャ</t>
    </rPh>
    <rPh sb="32" eb="33">
      <t>キ</t>
    </rPh>
    <rPh sb="34" eb="35">
      <t>カタ</t>
    </rPh>
    <phoneticPr fontId="1"/>
  </si>
  <si>
    <t>被害報告様式の準備</t>
    <rPh sb="0" eb="4">
      <t>ヒガイホウコク</t>
    </rPh>
    <rPh sb="4" eb="6">
      <t>ヨウシキ</t>
    </rPh>
    <rPh sb="7" eb="9">
      <t>ジュンビ</t>
    </rPh>
    <phoneticPr fontId="1"/>
  </si>
  <si>
    <t>自主的に代行者が決まる</t>
    <rPh sb="0" eb="3">
      <t>ジシュテキ</t>
    </rPh>
    <rPh sb="4" eb="7">
      <t>ダイコウシャ</t>
    </rPh>
    <rPh sb="8" eb="9">
      <t>キ</t>
    </rPh>
    <phoneticPr fontId="1"/>
  </si>
  <si>
    <t>救出者の安全を考慮し、無理はしない</t>
    <rPh sb="0" eb="2">
      <t>キュウシュツ</t>
    </rPh>
    <rPh sb="2" eb="3">
      <t>シャ</t>
    </rPh>
    <rPh sb="4" eb="6">
      <t>アンゼン</t>
    </rPh>
    <rPh sb="7" eb="9">
      <t>コウリョ</t>
    </rPh>
    <rPh sb="11" eb="13">
      <t>ムリ</t>
    </rPh>
    <phoneticPr fontId="1"/>
  </si>
  <si>
    <t xml:space="preserve">位置ズレの修復
交換可能部品対応
</t>
    <rPh sb="0" eb="2">
      <t>イチ</t>
    </rPh>
    <rPh sb="5" eb="7">
      <t>シュウフク</t>
    </rPh>
    <rPh sb="8" eb="14">
      <t>コウカンカノウブヒン</t>
    </rPh>
    <rPh sb="14" eb="16">
      <t>タイオウ</t>
    </rPh>
    <phoneticPr fontId="1"/>
  </si>
  <si>
    <t>LINEで連絡や指示、写真動画による状況共有
GoogleDriveでの復旧・業務再開への状況の共有</t>
    <rPh sb="5" eb="7">
      <t>レンラク</t>
    </rPh>
    <rPh sb="8" eb="10">
      <t>シジ</t>
    </rPh>
    <rPh sb="11" eb="13">
      <t>シャシン</t>
    </rPh>
    <rPh sb="13" eb="15">
      <t>ドウガ</t>
    </rPh>
    <rPh sb="18" eb="20">
      <t>ジョウキョウ</t>
    </rPh>
    <rPh sb="20" eb="22">
      <t>キョウユウ</t>
    </rPh>
    <rPh sb="36" eb="38">
      <t>フッキュウ</t>
    </rPh>
    <rPh sb="39" eb="43">
      <t>ギョウムサイカイ</t>
    </rPh>
    <rPh sb="45" eb="47">
      <t>ジョウキョウ</t>
    </rPh>
    <rPh sb="48" eb="50">
      <t>キョウユウ</t>
    </rPh>
    <phoneticPr fontId="1"/>
  </si>
  <si>
    <t>大型台風の発生
日本上陸の可能性あり</t>
    <rPh sb="0" eb="2">
      <t>オオガタ</t>
    </rPh>
    <rPh sb="2" eb="4">
      <t>タイフウ</t>
    </rPh>
    <rPh sb="5" eb="7">
      <t>ハッセイ</t>
    </rPh>
    <rPh sb="8" eb="10">
      <t>ニホン</t>
    </rPh>
    <rPh sb="10" eb="12">
      <t>ジョウリク</t>
    </rPh>
    <rPh sb="13" eb="15">
      <t>カノウ</t>
    </rPh>
    <rPh sb="15" eb="16">
      <t>セイ</t>
    </rPh>
    <phoneticPr fontId="1"/>
  </si>
  <si>
    <t>業務実施体制整備</t>
    <rPh sb="0" eb="2">
      <t>ギョウム</t>
    </rPh>
    <rPh sb="2" eb="4">
      <t>ジッシ</t>
    </rPh>
    <rPh sb="4" eb="6">
      <t>タイセイ</t>
    </rPh>
    <rPh sb="6" eb="8">
      <t>セイビ</t>
    </rPh>
    <phoneticPr fontId="1"/>
  </si>
  <si>
    <t>台風の上陸予定地、予定時間がおおよそ明確に、上陸時の台風の規模（風速、雨量など）が見えてくる</t>
    <rPh sb="0" eb="2">
      <t>タイフウ</t>
    </rPh>
    <rPh sb="3" eb="5">
      <t>ジョウリク</t>
    </rPh>
    <rPh sb="5" eb="8">
      <t>ヨテイチ</t>
    </rPh>
    <rPh sb="9" eb="13">
      <t>ヨテイジカン</t>
    </rPh>
    <rPh sb="18" eb="20">
      <t>メイカク</t>
    </rPh>
    <rPh sb="22" eb="25">
      <t>ジョウリクジ</t>
    </rPh>
    <rPh sb="26" eb="28">
      <t>タイフウ</t>
    </rPh>
    <rPh sb="29" eb="31">
      <t>キボ</t>
    </rPh>
    <rPh sb="32" eb="34">
      <t>フウソク</t>
    </rPh>
    <rPh sb="35" eb="37">
      <t>ウリョウ</t>
    </rPh>
    <rPh sb="41" eb="42">
      <t>ミ</t>
    </rPh>
    <phoneticPr fontId="1"/>
  </si>
  <si>
    <t>暴風雨警報や避難指示場合によっては避難命令</t>
    <rPh sb="0" eb="3">
      <t>ボウフウウ</t>
    </rPh>
    <rPh sb="3" eb="5">
      <t>ケイホウ</t>
    </rPh>
    <rPh sb="6" eb="10">
      <t>ヒナンシジ</t>
    </rPh>
    <rPh sb="10" eb="12">
      <t>バアイ</t>
    </rPh>
    <rPh sb="17" eb="21">
      <t>ヒナンメイレイ</t>
    </rPh>
    <phoneticPr fontId="1"/>
  </si>
  <si>
    <t>台風の上陸位置により大きく異なる
最悪の場合は浸水や停電・断水が発生する</t>
    <rPh sb="0" eb="2">
      <t>タイフウ</t>
    </rPh>
    <rPh sb="3" eb="7">
      <t>ジョウリクイチ</t>
    </rPh>
    <rPh sb="10" eb="11">
      <t>オオ</t>
    </rPh>
    <rPh sb="13" eb="14">
      <t>コト</t>
    </rPh>
    <rPh sb="17" eb="19">
      <t>サイアク</t>
    </rPh>
    <rPh sb="20" eb="22">
      <t>バアイ</t>
    </rPh>
    <rPh sb="23" eb="25">
      <t>シンスイ</t>
    </rPh>
    <rPh sb="26" eb="28">
      <t>テイデン</t>
    </rPh>
    <rPh sb="29" eb="31">
      <t>ダンスイ</t>
    </rPh>
    <rPh sb="32" eb="34">
      <t>ハッセイ</t>
    </rPh>
    <phoneticPr fontId="1"/>
  </si>
  <si>
    <t>台風が過ぎ、雨もおさまった状態から、被害状況の把握や後片付け、通常業務への復帰を行う</t>
    <rPh sb="0" eb="2">
      <t>タイフウ</t>
    </rPh>
    <rPh sb="3" eb="4">
      <t>ス</t>
    </rPh>
    <rPh sb="6" eb="7">
      <t>アメ</t>
    </rPh>
    <rPh sb="13" eb="15">
      <t>ジョウタイ</t>
    </rPh>
    <rPh sb="18" eb="22">
      <t>ヒガイジョウキョウ</t>
    </rPh>
    <rPh sb="23" eb="25">
      <t>ハアク</t>
    </rPh>
    <rPh sb="26" eb="29">
      <t>アトカタヅ</t>
    </rPh>
    <rPh sb="31" eb="33">
      <t>ツウジョウ</t>
    </rPh>
    <rPh sb="33" eb="35">
      <t>ギョウム</t>
    </rPh>
    <rPh sb="37" eb="39">
      <t>フッキ</t>
    </rPh>
    <rPh sb="40" eb="41">
      <t>オコナ</t>
    </rPh>
    <phoneticPr fontId="1"/>
  </si>
  <si>
    <t>上陸の可能性のある台風の発生</t>
    <rPh sb="0" eb="2">
      <t>ジョウリク</t>
    </rPh>
    <rPh sb="3" eb="6">
      <t>カノウセイ</t>
    </rPh>
    <rPh sb="9" eb="11">
      <t>タイフウ</t>
    </rPh>
    <rPh sb="12" eb="14">
      <t>ハッセイ</t>
    </rPh>
    <phoneticPr fontId="1"/>
  </si>
  <si>
    <t>強風、大雨</t>
    <rPh sb="0" eb="2">
      <t>キョウフウ</t>
    </rPh>
    <rPh sb="3" eb="5">
      <t>オオアメ</t>
    </rPh>
    <phoneticPr fontId="1"/>
  </si>
  <si>
    <t>強風、大雨
浸水等の可能性</t>
    <rPh sb="0" eb="2">
      <t>キョウフウ</t>
    </rPh>
    <rPh sb="3" eb="5">
      <t>オオアメ</t>
    </rPh>
    <rPh sb="6" eb="8">
      <t>シンスイ</t>
    </rPh>
    <rPh sb="8" eb="9">
      <t>トウ</t>
    </rPh>
    <rPh sb="10" eb="13">
      <t>カノウセイ</t>
    </rPh>
    <phoneticPr fontId="1"/>
  </si>
  <si>
    <t>・今後の雨量、上陸時の風速、風向き、高潮の有無などが正確に予想される</t>
    <rPh sb="1" eb="3">
      <t>コンゴ</t>
    </rPh>
    <rPh sb="4" eb="6">
      <t>ウリョウ</t>
    </rPh>
    <rPh sb="7" eb="10">
      <t>ジョウリクジ</t>
    </rPh>
    <rPh sb="11" eb="13">
      <t>フウソク</t>
    </rPh>
    <rPh sb="14" eb="16">
      <t>カザム</t>
    </rPh>
    <rPh sb="18" eb="20">
      <t>タカシオ</t>
    </rPh>
    <rPh sb="21" eb="23">
      <t>ウム</t>
    </rPh>
    <rPh sb="26" eb="28">
      <t>セイカク</t>
    </rPh>
    <rPh sb="29" eb="31">
      <t>ヨソウ</t>
    </rPh>
    <phoneticPr fontId="1"/>
  </si>
  <si>
    <t>より正確な風速、降雨量、今後の台風進路等が明確になる</t>
    <rPh sb="2" eb="4">
      <t>セイカク</t>
    </rPh>
    <rPh sb="5" eb="7">
      <t>フウソク</t>
    </rPh>
    <rPh sb="8" eb="11">
      <t>コウウリョウ</t>
    </rPh>
    <rPh sb="12" eb="14">
      <t>コンゴ</t>
    </rPh>
    <rPh sb="15" eb="19">
      <t>タイフウシンロ</t>
    </rPh>
    <rPh sb="19" eb="20">
      <t>トウ</t>
    </rPh>
    <rPh sb="21" eb="23">
      <t>メイカク</t>
    </rPh>
    <phoneticPr fontId="1"/>
  </si>
  <si>
    <t>風速が最大となるため、身の安全を最優先に行動する。</t>
    <rPh sb="0" eb="2">
      <t>フウソク</t>
    </rPh>
    <rPh sb="3" eb="5">
      <t>サイダイ</t>
    </rPh>
    <rPh sb="11" eb="12">
      <t>ミ</t>
    </rPh>
    <rPh sb="13" eb="15">
      <t>アンゼン</t>
    </rPh>
    <rPh sb="16" eb="19">
      <t>サイユウセン</t>
    </rPh>
    <rPh sb="20" eb="22">
      <t>コウドウ</t>
    </rPh>
    <phoneticPr fontId="1"/>
  </si>
  <si>
    <t>・強風対策（看板、窓ガラス等の飛散防止など）の確認
・浸水や雨の吹込みによる水濡れ防止の確認
・非常用備品の配備
・台風情報を２時間ごとにチェック
・操業停止や休業の準備</t>
    <rPh sb="1" eb="5">
      <t>キョウフウタイサク</t>
    </rPh>
    <rPh sb="6" eb="8">
      <t>カンバン</t>
    </rPh>
    <rPh sb="13" eb="14">
      <t>トウ</t>
    </rPh>
    <rPh sb="15" eb="19">
      <t>ヒサンボウシ</t>
    </rPh>
    <rPh sb="23" eb="25">
      <t>カクニン</t>
    </rPh>
    <rPh sb="27" eb="29">
      <t>シンスイ</t>
    </rPh>
    <rPh sb="30" eb="31">
      <t>アメ</t>
    </rPh>
    <rPh sb="32" eb="34">
      <t>フキコ</t>
    </rPh>
    <rPh sb="38" eb="40">
      <t>ミズヌ</t>
    </rPh>
    <rPh sb="41" eb="43">
      <t>ボウシ</t>
    </rPh>
    <rPh sb="44" eb="46">
      <t>カクニン</t>
    </rPh>
    <rPh sb="48" eb="53">
      <t>ヒジョウヨウビヒン</t>
    </rPh>
    <rPh sb="54" eb="56">
      <t>ハイビ</t>
    </rPh>
    <rPh sb="58" eb="62">
      <t>タイフウジョウホウ</t>
    </rPh>
    <rPh sb="64" eb="66">
      <t>ジカン</t>
    </rPh>
    <rPh sb="75" eb="77">
      <t>ソウギョウ</t>
    </rPh>
    <rPh sb="77" eb="79">
      <t>テイシ</t>
    </rPh>
    <rPh sb="80" eb="82">
      <t>キュウギョウ</t>
    </rPh>
    <rPh sb="83" eb="85">
      <t>ジュンビ</t>
    </rPh>
    <phoneticPr fontId="1"/>
  </si>
  <si>
    <t>・明日の上陸に備え、休業の判断
・休業時の対応体制の確認
・浸水の恐れがある場合は、重要物等を高い場所に移動
・台風状況を1時間ごとにチェック、降雨量や河川の状況も2時間ごとにチェック</t>
    <rPh sb="1" eb="3">
      <t>アス</t>
    </rPh>
    <rPh sb="4" eb="6">
      <t>ジョウリク</t>
    </rPh>
    <rPh sb="7" eb="8">
      <t>ソナ</t>
    </rPh>
    <rPh sb="10" eb="12">
      <t>キュウギョウ</t>
    </rPh>
    <rPh sb="13" eb="15">
      <t>ハンダン</t>
    </rPh>
    <rPh sb="17" eb="20">
      <t>キュウギョウジ</t>
    </rPh>
    <rPh sb="21" eb="25">
      <t>タイオウタイセイ</t>
    </rPh>
    <rPh sb="26" eb="28">
      <t>カクニン</t>
    </rPh>
    <rPh sb="30" eb="32">
      <t>シンスイ</t>
    </rPh>
    <rPh sb="33" eb="34">
      <t>オソ</t>
    </rPh>
    <rPh sb="38" eb="40">
      <t>バアイ</t>
    </rPh>
    <rPh sb="42" eb="44">
      <t>ジュウヨウ</t>
    </rPh>
    <rPh sb="44" eb="45">
      <t>ブツ</t>
    </rPh>
    <rPh sb="45" eb="46">
      <t>ナド</t>
    </rPh>
    <rPh sb="47" eb="48">
      <t>タカ</t>
    </rPh>
    <rPh sb="49" eb="51">
      <t>バショ</t>
    </rPh>
    <rPh sb="52" eb="54">
      <t>イドウ</t>
    </rPh>
    <rPh sb="56" eb="60">
      <t>タイフウジョウキョウ</t>
    </rPh>
    <rPh sb="62" eb="64">
      <t>ジカン</t>
    </rPh>
    <rPh sb="72" eb="75">
      <t>コウウリョウ</t>
    </rPh>
    <rPh sb="76" eb="78">
      <t>カセン</t>
    </rPh>
    <rPh sb="79" eb="81">
      <t>ジョウキョウ</t>
    </rPh>
    <rPh sb="83" eb="85">
      <t>ジカン</t>
    </rPh>
    <phoneticPr fontId="1"/>
  </si>
  <si>
    <t>・会社での対応メンバー主体での対応となる
・非常参集メンバーの体制・役割に従い配備
・休業を関係先やHPで正式アナウンス、
・強風、雨対策の最終確認</t>
    <rPh sb="22" eb="26">
      <t>ヒジョウサンシュウ</t>
    </rPh>
    <rPh sb="31" eb="33">
      <t>タイセイ</t>
    </rPh>
    <rPh sb="34" eb="36">
      <t>ヤクワリ</t>
    </rPh>
    <rPh sb="43" eb="45">
      <t>キュウギョウ</t>
    </rPh>
    <rPh sb="46" eb="49">
      <t>カンケイサキ</t>
    </rPh>
    <rPh sb="53" eb="55">
      <t>セイシキ</t>
    </rPh>
    <rPh sb="63" eb="65">
      <t>キョウフウ</t>
    </rPh>
    <rPh sb="66" eb="67">
      <t>アメ</t>
    </rPh>
    <rPh sb="67" eb="69">
      <t>タイサク</t>
    </rPh>
    <rPh sb="70" eb="74">
      <t>サイシュウカクニン</t>
    </rPh>
    <phoneticPr fontId="1"/>
  </si>
  <si>
    <t>災害対応メンバーは、自身の安全確保を優先に、緊急出動に備える
被害（建物屋根や窓の破損、停電・断水、浸水など）が出た場合、報告と初期対応</t>
    <rPh sb="0" eb="4">
      <t>サイガイタイオウ</t>
    </rPh>
    <rPh sb="10" eb="12">
      <t>ジシン</t>
    </rPh>
    <rPh sb="13" eb="17">
      <t>アンゼンカクホ</t>
    </rPh>
    <rPh sb="18" eb="20">
      <t>ユウセン</t>
    </rPh>
    <rPh sb="22" eb="24">
      <t>キンキュウ</t>
    </rPh>
    <rPh sb="24" eb="26">
      <t>シュツドウ</t>
    </rPh>
    <rPh sb="27" eb="28">
      <t>ソナ</t>
    </rPh>
    <rPh sb="31" eb="33">
      <t>ヒガイ</t>
    </rPh>
    <rPh sb="56" eb="57">
      <t>デ</t>
    </rPh>
    <rPh sb="58" eb="60">
      <t>バアイ</t>
    </rPh>
    <rPh sb="61" eb="63">
      <t>ホウコク</t>
    </rPh>
    <rPh sb="64" eb="68">
      <t>ショキタイオウ</t>
    </rPh>
    <phoneticPr fontId="1"/>
  </si>
  <si>
    <t>一番安全な場所で待機
ラジオやインターネットで河川の状況や台風の状況など情報収集に務める</t>
    <rPh sb="0" eb="2">
      <t>イチバン</t>
    </rPh>
    <rPh sb="2" eb="4">
      <t>アンゼン</t>
    </rPh>
    <rPh sb="5" eb="7">
      <t>バショ</t>
    </rPh>
    <rPh sb="8" eb="10">
      <t>タイキ</t>
    </rPh>
    <rPh sb="23" eb="25">
      <t>カセン</t>
    </rPh>
    <rPh sb="26" eb="28">
      <t>ジョウキョウ</t>
    </rPh>
    <rPh sb="29" eb="31">
      <t>タイフウ</t>
    </rPh>
    <rPh sb="32" eb="34">
      <t>ジョウキョウ</t>
    </rPh>
    <rPh sb="36" eb="40">
      <t>ジョウホウシュウシュウ</t>
    </rPh>
    <rPh sb="41" eb="42">
      <t>ツト</t>
    </rPh>
    <phoneticPr fontId="1"/>
  </si>
  <si>
    <t xml:space="preserve">・建物周辺などに飛散物がないか点検
・普段利用しない場所の窓等を補強
・操業停止や休業に備え、関係先やホームページ掲載用記事を準備
</t>
    <rPh sb="1" eb="5">
      <t>タテモノシュウヘン</t>
    </rPh>
    <rPh sb="8" eb="11">
      <t>ヒサンブツ</t>
    </rPh>
    <rPh sb="15" eb="17">
      <t>テンケン</t>
    </rPh>
    <rPh sb="19" eb="21">
      <t>フダン</t>
    </rPh>
    <rPh sb="21" eb="23">
      <t>リヨウ</t>
    </rPh>
    <rPh sb="26" eb="28">
      <t>バショ</t>
    </rPh>
    <rPh sb="29" eb="30">
      <t>マド</t>
    </rPh>
    <rPh sb="30" eb="31">
      <t>トウ</t>
    </rPh>
    <rPh sb="32" eb="34">
      <t>ホキョウ</t>
    </rPh>
    <rPh sb="36" eb="40">
      <t>ソウギョウテイシ</t>
    </rPh>
    <rPh sb="41" eb="43">
      <t>キュウギョウ</t>
    </rPh>
    <rPh sb="44" eb="45">
      <t>ソナ</t>
    </rPh>
    <rPh sb="47" eb="50">
      <t>カンケイサキ</t>
    </rPh>
    <rPh sb="57" eb="60">
      <t>ケイサイヨウ</t>
    </rPh>
    <rPh sb="60" eb="62">
      <t>キジ</t>
    </rPh>
    <rPh sb="63" eb="65">
      <t>ジュンビ</t>
    </rPh>
    <phoneticPr fontId="1"/>
  </si>
  <si>
    <t>緊急出動が想定される場合に備えて、必要な装備や備品を手元に揃えておく</t>
    <rPh sb="0" eb="4">
      <t>キンキュウシュツドウ</t>
    </rPh>
    <rPh sb="5" eb="7">
      <t>ソウテイ</t>
    </rPh>
    <rPh sb="10" eb="12">
      <t>バアイ</t>
    </rPh>
    <rPh sb="13" eb="14">
      <t>ソナ</t>
    </rPh>
    <rPh sb="17" eb="19">
      <t>ヒツヨウ</t>
    </rPh>
    <rPh sb="20" eb="22">
      <t>ソウビ</t>
    </rPh>
    <rPh sb="23" eb="25">
      <t>ビヒン</t>
    </rPh>
    <rPh sb="26" eb="28">
      <t>テモト</t>
    </rPh>
    <rPh sb="29" eb="30">
      <t>ソロ</t>
    </rPh>
    <phoneticPr fontId="1"/>
  </si>
  <si>
    <t>総務部長</t>
    <rPh sb="0" eb="4">
      <t>ソウムブチョウ</t>
    </rPh>
    <phoneticPr fontId="1"/>
  </si>
  <si>
    <t>台風による影響がより正確になってくるので、風雨の状況に合わせて、足りないものがないか、追加で行う事柄などを確認準備しておく</t>
    <rPh sb="0" eb="2">
      <t>タイフウ</t>
    </rPh>
    <rPh sb="5" eb="7">
      <t>エイキョウ</t>
    </rPh>
    <rPh sb="10" eb="12">
      <t>セイカク</t>
    </rPh>
    <rPh sb="21" eb="23">
      <t>フウウ</t>
    </rPh>
    <rPh sb="24" eb="26">
      <t>ジョウキョウ</t>
    </rPh>
    <rPh sb="27" eb="28">
      <t>ア</t>
    </rPh>
    <rPh sb="32" eb="33">
      <t>タ</t>
    </rPh>
    <rPh sb="43" eb="45">
      <t>ツイカ</t>
    </rPh>
    <rPh sb="46" eb="47">
      <t>オコナ</t>
    </rPh>
    <rPh sb="48" eb="50">
      <t>コトガラ</t>
    </rPh>
    <rPh sb="53" eb="57">
      <t>カクニンジュンビ</t>
    </rPh>
    <phoneticPr fontId="1"/>
  </si>
  <si>
    <t>火災防止のため、火気は使用しない
緊急出動とならないよう、きちんと備えておく</t>
    <rPh sb="0" eb="4">
      <t>カサイボウシ</t>
    </rPh>
    <rPh sb="8" eb="10">
      <t>カキ</t>
    </rPh>
    <rPh sb="11" eb="13">
      <t>シヨウ</t>
    </rPh>
    <rPh sb="17" eb="21">
      <t>キンキュウシュツドウ</t>
    </rPh>
    <rPh sb="33" eb="34">
      <t>ソナ</t>
    </rPh>
    <phoneticPr fontId="1"/>
  </si>
  <si>
    <t>部品・半製品の確保</t>
    <rPh sb="0" eb="2">
      <t>ブヒン</t>
    </rPh>
    <rPh sb="3" eb="6">
      <t>ハンセイヒン</t>
    </rPh>
    <rPh sb="7" eb="9">
      <t>カクホ</t>
    </rPh>
    <phoneticPr fontId="1"/>
  </si>
  <si>
    <t>資材・治工具の確保</t>
    <rPh sb="0" eb="2">
      <t>シザイ</t>
    </rPh>
    <rPh sb="3" eb="6">
      <t>ジコウグ</t>
    </rPh>
    <rPh sb="7" eb="9">
      <t>カクホ</t>
    </rPh>
    <phoneticPr fontId="1"/>
  </si>
  <si>
    <t>輸送機の確保</t>
    <rPh sb="0" eb="2">
      <t>ユソウ</t>
    </rPh>
    <rPh sb="2" eb="3">
      <t>キ</t>
    </rPh>
    <rPh sb="4" eb="6">
      <t>カクホ</t>
    </rPh>
    <phoneticPr fontId="1"/>
  </si>
  <si>
    <t>インフラの確保</t>
    <rPh sb="5" eb="7">
      <t>カクホ</t>
    </rPh>
    <phoneticPr fontId="1"/>
  </si>
  <si>
    <t>製品在庫の確認</t>
    <rPh sb="0" eb="2">
      <t>セイヒン</t>
    </rPh>
    <rPh sb="2" eb="4">
      <t>ザイコ</t>
    </rPh>
    <rPh sb="5" eb="7">
      <t>カクニン</t>
    </rPh>
    <phoneticPr fontId="1"/>
  </si>
  <si>
    <t>製品製造の確認</t>
    <rPh sb="0" eb="4">
      <t>セイヒンセイゾウ</t>
    </rPh>
    <rPh sb="5" eb="7">
      <t>カクニン</t>
    </rPh>
    <phoneticPr fontId="1"/>
  </si>
  <si>
    <t>出荷作業＆納品</t>
    <rPh sb="0" eb="4">
      <t>シュッカサギョウ</t>
    </rPh>
    <rPh sb="5" eb="7">
      <t>ノウヒン</t>
    </rPh>
    <phoneticPr fontId="1"/>
  </si>
  <si>
    <t>設備Aの確保＆動作確認</t>
    <rPh sb="0" eb="2">
      <t>セツビ</t>
    </rPh>
    <rPh sb="4" eb="6">
      <t>カクホ</t>
    </rPh>
    <rPh sb="7" eb="11">
      <t>ドウサカクニン</t>
    </rPh>
    <phoneticPr fontId="1"/>
  </si>
  <si>
    <t>在庫品の確認と調達ルートの確保</t>
    <rPh sb="0" eb="3">
      <t>ザイコヒン</t>
    </rPh>
    <rPh sb="4" eb="6">
      <t>カクニン</t>
    </rPh>
    <rPh sb="7" eb="9">
      <t>チョウタツ</t>
    </rPh>
    <rPh sb="13" eb="15">
      <t>カクホ</t>
    </rPh>
    <phoneticPr fontId="1"/>
  </si>
  <si>
    <t xml:space="preserve">電気系統、通信系統
設備・機械など
</t>
    <rPh sb="0" eb="4">
      <t>デンキケイトウ</t>
    </rPh>
    <rPh sb="5" eb="9">
      <t>ツウシンケイトウ</t>
    </rPh>
    <rPh sb="10" eb="12">
      <t>セツビ</t>
    </rPh>
    <rPh sb="13" eb="15">
      <t>キカイ</t>
    </rPh>
    <phoneticPr fontId="1"/>
  </si>
  <si>
    <t>機械名
型番-
号機</t>
    <rPh sb="0" eb="3">
      <t>キカイメイ</t>
    </rPh>
    <rPh sb="4" eb="6">
      <t>カタバン</t>
    </rPh>
    <rPh sb="8" eb="10">
      <t>ゴウキ</t>
    </rPh>
    <phoneticPr fontId="1"/>
  </si>
  <si>
    <t xml:space="preserve">（人）
（部品、資材）
（工具、器具）
</t>
  </si>
  <si>
    <t>BCPの基礎（経営者向け）</t>
  </si>
  <si>
    <t>自社のBCP概要</t>
  </si>
  <si>
    <t>自社のBCP対策</t>
  </si>
  <si>
    <t>上下水道･ガス・通信</t>
    <rPh sb="0" eb="2">
      <t>ジョウゲ</t>
    </rPh>
    <rPh sb="2" eb="4">
      <t>スイドウ</t>
    </rPh>
    <rPh sb="8" eb="10">
      <t>ツウシン</t>
    </rPh>
    <phoneticPr fontId="1"/>
  </si>
  <si>
    <t>救命・救護研修</t>
    <rPh sb="0" eb="2">
      <t>キュウメイ</t>
    </rPh>
    <rPh sb="3" eb="5">
      <t>キュウゴ</t>
    </rPh>
    <rPh sb="5" eb="7">
      <t>ケンシュウ</t>
    </rPh>
    <phoneticPr fontId="1"/>
  </si>
  <si>
    <t>中小企業庁BCP　XXX</t>
  </si>
  <si>
    <t>中小企業庁BCP　BCPとは
https://www.chusho.meti.go.jp/bcp/contents/level_c/bcpgl_01_1.html</t>
  </si>
  <si>
    <t>市販テキスト
ビデオ教材</t>
    <rPh sb="0" eb="2">
      <t>シハン</t>
    </rPh>
    <rPh sb="10" eb="12">
      <t>キョウザイ</t>
    </rPh>
    <phoneticPr fontId="1"/>
  </si>
  <si>
    <t>XXXBCPの基本</t>
  </si>
  <si>
    <t>講師提供レジュメ</t>
    <rPh sb="0" eb="2">
      <t>コウシ</t>
    </rPh>
    <rPh sb="2" eb="4">
      <t>テイキョウ</t>
    </rPh>
    <phoneticPr fontId="1"/>
  </si>
  <si>
    <t>WEBコンテンツ</t>
  </si>
  <si>
    <t>電子データ</t>
  </si>
  <si>
    <t>代替も含め困難　</t>
  </si>
  <si>
    <t>自習</t>
  </si>
  <si>
    <t>WEB動画</t>
  </si>
  <si>
    <t>参加者討議</t>
  </si>
  <si>
    <t>外部講師</t>
    <rPh sb="0" eb="4">
      <t>ガイブコウシ</t>
    </rPh>
    <phoneticPr fontId="1"/>
  </si>
  <si>
    <t>討議議事録に記載</t>
  </si>
  <si>
    <t>理解度アンケート</t>
  </si>
  <si>
    <t>BCP導入時（キックオフ会）
入社・配属時</t>
  </si>
  <si>
    <t>避難訓練（防災訓練）</t>
  </si>
  <si>
    <t>クロスロード</t>
  </si>
  <si>
    <t>発災時のリソース対策訓練</t>
  </si>
  <si>
    <t>広域災害演習</t>
  </si>
  <si>
    <t>IT、人などリソース復旧訓練</t>
  </si>
  <si>
    <t>救命・救護訓練</t>
    <rPh sb="0" eb="2">
      <t>キュウメイ</t>
    </rPh>
    <rPh sb="3" eb="7">
      <t>キュウゴクンレン</t>
    </rPh>
    <phoneticPr fontId="1"/>
  </si>
  <si>
    <t>同非常食</t>
    <rPh sb="0" eb="1">
      <t>ドウ</t>
    </rPh>
    <rPh sb="1" eb="4">
      <t>ヒジョウショク</t>
    </rPh>
    <phoneticPr fontId="1"/>
  </si>
  <si>
    <t>ミニ演習</t>
    <rPh sb="2" eb="4">
      <t>エンシュウ</t>
    </rPh>
    <phoneticPr fontId="1"/>
  </si>
  <si>
    <t>災害図上演習</t>
  </si>
  <si>
    <t>リソース毎の初動、復旧訓練</t>
  </si>
  <si>
    <t>パンデミック:人、サイバー攻撃：IT関連、情報が被災した場合の対応演習</t>
  </si>
  <si>
    <t>職場の問題をテーマに事後対策と防止対策を検討する</t>
    <rPh sb="0" eb="2">
      <t>ショクバ</t>
    </rPh>
    <rPh sb="3" eb="5">
      <t>モンダイ</t>
    </rPh>
    <rPh sb="10" eb="14">
      <t>ジゴタイサク</t>
    </rPh>
    <rPh sb="15" eb="19">
      <t>ボウシタイサク</t>
    </rPh>
    <rPh sb="20" eb="22">
      <t>ケントウ</t>
    </rPh>
    <phoneticPr fontId="1"/>
  </si>
  <si>
    <t>オペレーション</t>
  </si>
  <si>
    <t>机上/実地</t>
  </si>
  <si>
    <t>机上</t>
    <rPh sb="0" eb="2">
      <t>キジョウ</t>
    </rPh>
    <phoneticPr fontId="1"/>
  </si>
  <si>
    <t>疑似体験による課題の対応</t>
  </si>
  <si>
    <t>判断、意思決定のトレーニング</t>
  </si>
  <si>
    <t>応急手当の手法、救出方法などの習得</t>
    <rPh sb="0" eb="4">
      <t>オウキュウテアテ</t>
    </rPh>
    <rPh sb="5" eb="7">
      <t>シュホウ</t>
    </rPh>
    <rPh sb="8" eb="10">
      <t>キュウシュツ</t>
    </rPh>
    <rPh sb="10" eb="12">
      <t>ホウホウ</t>
    </rPh>
    <rPh sb="15" eb="17">
      <t>シュウトク</t>
    </rPh>
    <phoneticPr fontId="1"/>
  </si>
  <si>
    <t>アンケート</t>
  </si>
  <si>
    <t>年1回</t>
  </si>
  <si>
    <t>年2回</t>
  </si>
  <si>
    <t>４０分</t>
    <rPh sb="2" eb="3">
      <t>プン</t>
    </rPh>
    <phoneticPr fontId="1"/>
  </si>
  <si>
    <r>
      <t>（トップの総括コメント）
　</t>
    </r>
    <r>
      <rPr>
        <sz val="11"/>
        <color auto="1"/>
        <rFont val="ＭＳ Ｐゴシック"/>
      </rPr>
      <t>BCM活動も年々改善・強化が進み頼もしく感じている。しかし一方で進捗遅れや未着手な案件が見られるのは残念に感じている。引き続き継続し取り組んでほしい。</t>
    </r>
    <rPh sb="5" eb="7">
      <t>ソウカツ</t>
    </rPh>
    <rPh sb="17" eb="19">
      <t>カツドウ</t>
    </rPh>
    <rPh sb="20" eb="22">
      <t>ネンネン</t>
    </rPh>
    <rPh sb="22" eb="24">
      <t>カイゼン</t>
    </rPh>
    <rPh sb="25" eb="27">
      <t>キョウカ</t>
    </rPh>
    <rPh sb="28" eb="29">
      <t>スス</t>
    </rPh>
    <rPh sb="30" eb="31">
      <t>タノ</t>
    </rPh>
    <rPh sb="34" eb="35">
      <t>カン</t>
    </rPh>
    <rPh sb="43" eb="45">
      <t>イッポウ</t>
    </rPh>
    <rPh sb="46" eb="48">
      <t>シンチョク</t>
    </rPh>
    <rPh sb="48" eb="49">
      <t>オク</t>
    </rPh>
    <rPh sb="51" eb="52">
      <t>ミ</t>
    </rPh>
    <rPh sb="52" eb="54">
      <t>チャクシュ</t>
    </rPh>
    <rPh sb="55" eb="57">
      <t>アンケン</t>
    </rPh>
    <rPh sb="58" eb="59">
      <t>ミ</t>
    </rPh>
    <rPh sb="64" eb="66">
      <t>ザンネン</t>
    </rPh>
    <rPh sb="67" eb="68">
      <t>カン</t>
    </rPh>
    <rPh sb="73" eb="74">
      <t>ヒ</t>
    </rPh>
    <rPh sb="75" eb="76">
      <t>ツヅ</t>
    </rPh>
    <rPh sb="77" eb="79">
      <t>ケイゾク</t>
    </rPh>
    <rPh sb="80" eb="81">
      <t>ト</t>
    </rPh>
    <rPh sb="82" eb="83">
      <t>ク</t>
    </rPh>
    <phoneticPr fontId="1"/>
  </si>
  <si>
    <t>概ね良好に維持されている</t>
    <rPh sb="0" eb="1">
      <t>オオム</t>
    </rPh>
    <rPh sb="2" eb="4">
      <t>リョウコウ</t>
    </rPh>
    <rPh sb="5" eb="7">
      <t>イジ</t>
    </rPh>
    <phoneticPr fontId="1"/>
  </si>
  <si>
    <t>新規採用や人事異動時のＢＣＰ教育の必要あり</t>
    <rPh sb="0" eb="4">
      <t>シンキサイヨウ</t>
    </rPh>
    <rPh sb="5" eb="10">
      <t>ジンジイドウジ</t>
    </rPh>
    <rPh sb="14" eb="16">
      <t>キョウイク</t>
    </rPh>
    <rPh sb="17" eb="19">
      <t>ヒツヨウ</t>
    </rPh>
    <phoneticPr fontId="1"/>
  </si>
  <si>
    <t>予定より遅れているが代替先企業の候補企業の選定は完了した。</t>
    <rPh sb="0" eb="2">
      <t>ヨテイ</t>
    </rPh>
    <rPh sb="4" eb="5">
      <t>オク</t>
    </rPh>
    <rPh sb="10" eb="12">
      <t>ダイガエ</t>
    </rPh>
    <rPh sb="12" eb="13">
      <t>サキ</t>
    </rPh>
    <rPh sb="13" eb="15">
      <t>キギョウ</t>
    </rPh>
    <rPh sb="16" eb="18">
      <t>コウホ</t>
    </rPh>
    <rPh sb="18" eb="20">
      <t>キギョウ</t>
    </rPh>
    <rPh sb="21" eb="23">
      <t>センテイ</t>
    </rPh>
    <rPh sb="24" eb="26">
      <t>カンリョウ</t>
    </rPh>
    <phoneticPr fontId="1"/>
  </si>
  <si>
    <t>直近のBCMチェック表での確認では65点となっている。年々教育、訓練もレベルアップが感じられ、事前対策も7割が完了し、着実に進んでいる</t>
    <rPh sb="0" eb="2">
      <t>チョッキン</t>
    </rPh>
    <rPh sb="10" eb="11">
      <t>ヒョウ</t>
    </rPh>
    <rPh sb="13" eb="15">
      <t>カクニン</t>
    </rPh>
    <rPh sb="19" eb="20">
      <t>テン</t>
    </rPh>
    <rPh sb="27" eb="29">
      <t>ネンネン</t>
    </rPh>
    <rPh sb="29" eb="31">
      <t>キョウイク</t>
    </rPh>
    <rPh sb="32" eb="34">
      <t>クンレン</t>
    </rPh>
    <rPh sb="42" eb="43">
      <t>カン</t>
    </rPh>
    <rPh sb="47" eb="51">
      <t>ジゼンタイサク</t>
    </rPh>
    <rPh sb="53" eb="54">
      <t>ワリ</t>
    </rPh>
    <rPh sb="55" eb="57">
      <t>カンリョウ</t>
    </rPh>
    <rPh sb="59" eb="61">
      <t>チャクジツ</t>
    </rPh>
    <rPh sb="62" eb="63">
      <t>スス</t>
    </rPh>
    <phoneticPr fontId="1"/>
  </si>
  <si>
    <t>漏れなく維持できるよう、仕組化を推進していく</t>
    <rPh sb="0" eb="1">
      <t>モ</t>
    </rPh>
    <rPh sb="4" eb="6">
      <t>イジ</t>
    </rPh>
    <rPh sb="12" eb="15">
      <t>シクミカ</t>
    </rPh>
    <rPh sb="16" eb="18">
      <t>スイシン</t>
    </rPh>
    <phoneticPr fontId="1"/>
  </si>
  <si>
    <t>重要項目については、進捗や問題点・課題の確認・検討を定期的に実施する予定</t>
    <rPh sb="0" eb="2">
      <t>ジュウヨウ</t>
    </rPh>
    <rPh sb="2" eb="4">
      <t>コウモク</t>
    </rPh>
    <rPh sb="10" eb="12">
      <t>シンチョク</t>
    </rPh>
    <rPh sb="13" eb="16">
      <t>モンダイテン</t>
    </rPh>
    <rPh sb="17" eb="19">
      <t>カダイ</t>
    </rPh>
    <rPh sb="20" eb="22">
      <t>カクニン</t>
    </rPh>
    <rPh sb="23" eb="25">
      <t>ケントウ</t>
    </rPh>
    <rPh sb="26" eb="29">
      <t>テイキテキ</t>
    </rPh>
    <rPh sb="30" eb="32">
      <t>ジッシ</t>
    </rPh>
    <rPh sb="34" eb="36">
      <t>ヨテイ</t>
    </rPh>
    <phoneticPr fontId="1"/>
  </si>
  <si>
    <t xml:space="preserve">
備品・備蓄・管理・お金</t>
    <rPh sb="1" eb="3">
      <t>ビヒン</t>
    </rPh>
    <rPh sb="7" eb="9">
      <t>カンリ</t>
    </rPh>
    <rPh sb="11" eb="12">
      <t>カネ</t>
    </rPh>
    <phoneticPr fontId="1"/>
  </si>
  <si>
    <t xml:space="preserve">
自宅損壊
半壊･全壊</t>
    <rPh sb="1" eb="3">
      <t>ジタク</t>
    </rPh>
    <rPh sb="3" eb="5">
      <t>ソンカイ</t>
    </rPh>
    <rPh sb="6" eb="8">
      <t>ハンカイ</t>
    </rPh>
    <rPh sb="9" eb="11">
      <t>ゼンカイ</t>
    </rPh>
    <phoneticPr fontId="1"/>
  </si>
  <si>
    <t>避難先･方法
訓練</t>
    <rPh sb="0" eb="3">
      <t>ヒナンサキ</t>
    </rPh>
    <rPh sb="4" eb="6">
      <t>ホウホウ</t>
    </rPh>
    <phoneticPr fontId="1"/>
  </si>
  <si>
    <t>自他共に
備品支援
避難生活法</t>
    <rPh sb="0" eb="3">
      <t>ジタトモ</t>
    </rPh>
    <rPh sb="10" eb="15">
      <t>ヒナンセイカツホウ</t>
    </rPh>
    <phoneticPr fontId="1"/>
  </si>
  <si>
    <t xml:space="preserve">会社から防災用品支給
暖･衣･飲食･住
</t>
    <rPh sb="0" eb="2">
      <t>カイシャ</t>
    </rPh>
    <rPh sb="4" eb="6">
      <t>ボウサイ</t>
    </rPh>
    <rPh sb="6" eb="8">
      <t>ヨウヒン</t>
    </rPh>
    <rPh sb="8" eb="10">
      <t>シキュウ</t>
    </rPh>
    <phoneticPr fontId="1"/>
  </si>
  <si>
    <t>インフラ復旧
（4次被害想定）</t>
    <rPh sb="9" eb="10">
      <t>ジ</t>
    </rPh>
    <rPh sb="10" eb="14">
      <t>ヒガイソウテイ</t>
    </rPh>
    <phoneticPr fontId="1"/>
  </si>
  <si>
    <t>事業所の動き</t>
    <rPh sb="4" eb="5">
      <t>ウゴ</t>
    </rPh>
    <phoneticPr fontId="1"/>
  </si>
  <si>
    <t>安否確認･訓練</t>
    <rPh sb="5" eb="7">
      <t>クンレン</t>
    </rPh>
    <phoneticPr fontId="1"/>
  </si>
  <si>
    <t>◎L</t>
  </si>
  <si>
    <t>不足備品計画的補充
期限管理
非常持出し</t>
    <rPh sb="0" eb="4">
      <t>フソクビヒン</t>
    </rPh>
    <rPh sb="4" eb="7">
      <t>ケイカクテキ</t>
    </rPh>
    <rPh sb="7" eb="9">
      <t>ホジュウ</t>
    </rPh>
    <rPh sb="15" eb="19">
      <t>ヒジョウモチダ</t>
    </rPh>
    <phoneticPr fontId="1"/>
  </si>
  <si>
    <t>住宅保険見直し</t>
    <rPh sb="0" eb="2">
      <t>ジュウタク</t>
    </rPh>
    <rPh sb="2" eb="4">
      <t>ホケン</t>
    </rPh>
    <rPh sb="4" eb="6">
      <t>ミナオ</t>
    </rPh>
    <phoneticPr fontId="1"/>
  </si>
  <si>
    <t>家族で避難先申合せ：避難はバラバラ</t>
    <rPh sb="3" eb="6">
      <t>ヒナンサキ</t>
    </rPh>
    <phoneticPr fontId="1"/>
  </si>
  <si>
    <t>被災者生活
再建ワーク
ショップ等</t>
    <rPh sb="0" eb="3">
      <t>ヒサイシャ</t>
    </rPh>
    <rPh sb="3" eb="5">
      <t>セイカツ</t>
    </rPh>
    <rPh sb="6" eb="8">
      <t>サイケン</t>
    </rPh>
    <rPh sb="16" eb="17">
      <t>ナド</t>
    </rPh>
    <phoneticPr fontId="1"/>
  </si>
  <si>
    <t>南海ﾄﾗﾌ臨時情報
社内取決め</t>
    <rPh sb="0" eb="2">
      <t>ナンカイ</t>
    </rPh>
    <rPh sb="5" eb="9">
      <t>リンジジョウホウ</t>
    </rPh>
    <rPh sb="10" eb="12">
      <t>シャナイ</t>
    </rPh>
    <rPh sb="12" eb="14">
      <t>トリキ</t>
    </rPh>
    <phoneticPr fontId="1"/>
  </si>
  <si>
    <t>被災者支援制度等を事前に教育･訓練</t>
    <rPh sb="0" eb="5">
      <t>ヒサイシャシエン</t>
    </rPh>
    <rPh sb="5" eb="7">
      <t>セイド</t>
    </rPh>
    <rPh sb="7" eb="8">
      <t>ナド</t>
    </rPh>
    <rPh sb="9" eb="11">
      <t>ジゼン</t>
    </rPh>
    <rPh sb="12" eb="14">
      <t>キョウイク</t>
    </rPh>
    <rPh sb="15" eb="17">
      <t>クンレン</t>
    </rPh>
    <phoneticPr fontId="1"/>
  </si>
  <si>
    <t>避難手順確認</t>
    <rPh sb="0" eb="2">
      <t>ヒナン</t>
    </rPh>
    <rPh sb="2" eb="4">
      <t>テジュン</t>
    </rPh>
    <rPh sb="4" eb="6">
      <t>カクニン</t>
    </rPh>
    <phoneticPr fontId="1"/>
  </si>
  <si>
    <t>身を守る行動</t>
    <rPh sb="0" eb="1">
      <t>ミ</t>
    </rPh>
    <rPh sb="2" eb="3">
      <t>マモ</t>
    </rPh>
    <rPh sb="4" eb="6">
      <t>コウドウ</t>
    </rPh>
    <phoneticPr fontId="1"/>
  </si>
  <si>
    <t>手元現金</t>
    <rPh sb="0" eb="2">
      <t>テモト</t>
    </rPh>
    <rPh sb="2" eb="4">
      <t>ゲンキン</t>
    </rPh>
    <phoneticPr fontId="1"/>
  </si>
  <si>
    <t>生活再建支援制度</t>
    <rPh sb="0" eb="2">
      <t>セイカツ</t>
    </rPh>
    <rPh sb="2" eb="4">
      <t>サイケン</t>
    </rPh>
    <rPh sb="4" eb="8">
      <t>シエンセイド</t>
    </rPh>
    <phoneticPr fontId="1"/>
  </si>
  <si>
    <t>耐震補強実施
公費解体知識</t>
    <rPh sb="0" eb="2">
      <t>タイシン</t>
    </rPh>
    <rPh sb="2" eb="4">
      <t>ホキョウ</t>
    </rPh>
    <rPh sb="4" eb="6">
      <t>ジッシ</t>
    </rPh>
    <rPh sb="7" eb="11">
      <t>コウヒカイタイ</t>
    </rPh>
    <rPh sb="11" eb="13">
      <t>チシキ</t>
    </rPh>
    <phoneticPr fontId="1"/>
  </si>
  <si>
    <t>防災用具使用法
家庭内DIG・地域DIG</t>
    <rPh sb="0" eb="2">
      <t>ボウサイ</t>
    </rPh>
    <rPh sb="2" eb="4">
      <t>ヨウグ</t>
    </rPh>
    <rPh sb="4" eb="7">
      <t>シヨウホウ</t>
    </rPh>
    <rPh sb="8" eb="11">
      <t>カテイナイ</t>
    </rPh>
    <rPh sb="15" eb="17">
      <t>チイキ</t>
    </rPh>
    <phoneticPr fontId="1"/>
  </si>
  <si>
    <t>非常食料理
簡易ﾍﾞｯﾄ等
野外生活法</t>
    <rPh sb="0" eb="3">
      <t>ヒジョウショク</t>
    </rPh>
    <rPh sb="3" eb="5">
      <t>リョウリ</t>
    </rPh>
    <rPh sb="6" eb="8">
      <t>カンイ</t>
    </rPh>
    <rPh sb="12" eb="13">
      <t>トウ</t>
    </rPh>
    <rPh sb="14" eb="16">
      <t>ヤガイ</t>
    </rPh>
    <rPh sb="16" eb="18">
      <t>セイカツ</t>
    </rPh>
    <rPh sb="18" eb="19">
      <t>ホウ</t>
    </rPh>
    <phoneticPr fontId="1"/>
  </si>
  <si>
    <t>緊急避難救助
怪我有無手当安否確認報告</t>
    <rPh sb="0" eb="2">
      <t>キンキュウ</t>
    </rPh>
    <rPh sb="2" eb="4">
      <t>ヒナン</t>
    </rPh>
    <rPh sb="4" eb="6">
      <t>キュウジョ</t>
    </rPh>
    <rPh sb="9" eb="11">
      <t>ウム</t>
    </rPh>
    <rPh sb="11" eb="13">
      <t>テアテ</t>
    </rPh>
    <rPh sb="17" eb="19">
      <t>ホウコク</t>
    </rPh>
    <phoneticPr fontId="1"/>
  </si>
  <si>
    <t>･備蓄管理</t>
  </si>
  <si>
    <t>会社備蓄を従業員・地域周辺に放出</t>
    <rPh sb="0" eb="2">
      <t>カイシャ</t>
    </rPh>
    <rPh sb="2" eb="4">
      <t>ビチク</t>
    </rPh>
    <rPh sb="5" eb="8">
      <t>ジュウギョウイン</t>
    </rPh>
    <rPh sb="9" eb="13">
      <t>チイキシュウヘン</t>
    </rPh>
    <rPh sb="14" eb="16">
      <t>ホウシュツ</t>
    </rPh>
    <phoneticPr fontId="1"/>
  </si>
  <si>
    <t>ﾌﾞﾚｰｶｰ確認
ｶﾞｽ元栓
（屋外退去）</t>
    <rPh sb="12" eb="14">
      <t>モトセン</t>
    </rPh>
    <rPh sb="16" eb="20">
      <t>オクガイタイキョ</t>
    </rPh>
    <phoneticPr fontId="1"/>
  </si>
  <si>
    <t>･初動対応
･余裕あれば防災設備で近隣支援</t>
    <rPh sb="1" eb="5">
      <t>ショドウタイオウ</t>
    </rPh>
    <rPh sb="7" eb="9">
      <t>ヨユウ</t>
    </rPh>
    <rPh sb="12" eb="14">
      <t>ボウサイ</t>
    </rPh>
    <rPh sb="14" eb="16">
      <t>セツビ</t>
    </rPh>
    <rPh sb="17" eb="19">
      <t>キンリン</t>
    </rPh>
    <rPh sb="19" eb="21">
      <t>シエン</t>
    </rPh>
    <phoneticPr fontId="1"/>
  </si>
  <si>
    <t>家屋倒壊危険度判定</t>
    <rPh sb="0" eb="2">
      <t>カオク</t>
    </rPh>
    <rPh sb="2" eb="4">
      <t>トウカイ</t>
    </rPh>
    <rPh sb="4" eb="9">
      <t>キケンドハンテイ</t>
    </rPh>
    <phoneticPr fontId="1"/>
  </si>
  <si>
    <t>･ﾛｰﾝ返済前（減免）弁護士等相談</t>
  </si>
  <si>
    <t>学校再開</t>
  </si>
  <si>
    <t>･支援相談
・罹災証明･保険金請求手続き</t>
  </si>
  <si>
    <t>電気
モバイル通信</t>
    <rPh sb="7" eb="9">
      <t>ツウシン</t>
    </rPh>
    <phoneticPr fontId="1"/>
  </si>
  <si>
    <t>自宅被災最小限の上で
会社に参集（例）</t>
    <rPh sb="0" eb="2">
      <t>ジタク</t>
    </rPh>
    <rPh sb="2" eb="4">
      <t>ヒサイ</t>
    </rPh>
    <rPh sb="4" eb="7">
      <t>サイショウゲン</t>
    </rPh>
    <rPh sb="8" eb="9">
      <t>ウエ</t>
    </rPh>
    <rPh sb="11" eb="13">
      <t>カイシャ</t>
    </rPh>
    <rPh sb="14" eb="16">
      <t>サンシュウ</t>
    </rPh>
    <rPh sb="17" eb="18">
      <t>レイ</t>
    </rPh>
    <phoneticPr fontId="1"/>
  </si>
  <si>
    <t xml:space="preserve">収入支出管理
</t>
    <rPh sb="0" eb="2">
      <t>シュウニュウ</t>
    </rPh>
    <rPh sb="2" eb="4">
      <t>シシュツ</t>
    </rPh>
    <rPh sb="4" eb="6">
      <t>カンリ</t>
    </rPh>
    <phoneticPr fontId="1"/>
  </si>
  <si>
    <t>･銀行にﾛｰﾝ減災免除申し出</t>
  </si>
  <si>
    <t>仮設住宅退去、期限延長も有り</t>
    <rPh sb="9" eb="11">
      <t>エンチョウ</t>
    </rPh>
    <rPh sb="12" eb="13">
      <t>ア</t>
    </rPh>
    <phoneticPr fontId="1"/>
  </si>
  <si>
    <t>社長</t>
    <rPh sb="0" eb="2">
      <t>シャチョウ</t>
    </rPh>
    <phoneticPr fontId="1"/>
  </si>
  <si>
    <t>リーダー１</t>
  </si>
  <si>
    <t>リーダー２</t>
  </si>
  <si>
    <t>リーダー３</t>
  </si>
  <si>
    <t>担当１</t>
    <rPh sb="0" eb="2">
      <t>タントウ</t>
    </rPh>
    <phoneticPr fontId="1"/>
  </si>
  <si>
    <t>担当２</t>
    <rPh sb="0" eb="2">
      <t>タントウ</t>
    </rPh>
    <phoneticPr fontId="1"/>
  </si>
  <si>
    <t>担当５</t>
    <rPh sb="0" eb="2">
      <t>タントウ</t>
    </rPh>
    <phoneticPr fontId="1"/>
  </si>
  <si>
    <t>優先業務を行いながら、逐次他のリソースについても復旧を進めていく
【補足】
被災後の事業環境の変化にも留意し、復旧計画を検討する</t>
    <rPh sb="0" eb="4">
      <t>ユウセンギョウム</t>
    </rPh>
    <rPh sb="5" eb="6">
      <t>オコナ</t>
    </rPh>
    <rPh sb="11" eb="13">
      <t>チクジ</t>
    </rPh>
    <rPh sb="13" eb="14">
      <t>タ</t>
    </rPh>
    <rPh sb="24" eb="26">
      <t>フッキュウ</t>
    </rPh>
    <rPh sb="27" eb="28">
      <t>スス</t>
    </rPh>
    <phoneticPr fontId="1"/>
  </si>
  <si>
    <t>重要業務の
再開時操業度</t>
    <rPh sb="0" eb="2">
      <t>ジュウヨウ</t>
    </rPh>
    <rPh sb="2" eb="4">
      <t>ギョウム</t>
    </rPh>
    <rPh sb="6" eb="9">
      <t>サイカイジ</t>
    </rPh>
    <rPh sb="9" eb="12">
      <t>ソウギョウド</t>
    </rPh>
    <phoneticPr fontId="1"/>
  </si>
  <si>
    <t>顧客要請の
目標時期</t>
    <rPh sb="8" eb="10">
      <t>ジキ</t>
    </rPh>
    <phoneticPr fontId="1"/>
  </si>
  <si>
    <t>災害協定
対応開始時期</t>
    <rPh sb="9" eb="11">
      <t>ジキ</t>
    </rPh>
    <phoneticPr fontId="1"/>
  </si>
  <si>
    <t>代行者の育成、重要情報の共有</t>
  </si>
  <si>
    <t>重要情報共有の仕組みづくり
代行のための教育・育成</t>
  </si>
  <si>
    <t>経営層または下位代行者が代行</t>
  </si>
  <si>
    <t>2人出社不可の場合影響大</t>
  </si>
  <si>
    <t>技能者の出社不可</t>
  </si>
  <si>
    <t>OB社員との応援協定及び定期的研修</t>
  </si>
  <si>
    <t>対応メンバーが不足する場合はOBを中心に支援を依頼
管理職の応援体制も検討</t>
  </si>
  <si>
    <t>対応力が５０％以下に</t>
  </si>
  <si>
    <t>取引先、OB、スタッフでの対応を進める</t>
  </si>
  <si>
    <t>再調達困難度　中</t>
  </si>
  <si>
    <t>取引先との応援協定、OB、スタッフの研修・育成</t>
  </si>
</sst>
</file>

<file path=xl/styles.xml><?xml version="1.0" encoding="utf-8"?>
<styleSheet xmlns="http://schemas.openxmlformats.org/spreadsheetml/2006/main" xmlns:r="http://schemas.openxmlformats.org/officeDocument/2006/relationships" xmlns:mc="http://schemas.openxmlformats.org/markup-compatibility/2006">
  <fonts count="40">
    <font>
      <sz val="11"/>
      <color theme="1"/>
      <name val="ＭＳ Ｐゴシック"/>
      <family val="3"/>
      <scheme val="minor"/>
    </font>
    <font>
      <sz val="6"/>
      <color auto="1"/>
      <name val="ＭＳ Ｐゴシック"/>
      <family val="3"/>
    </font>
    <font>
      <sz val="10"/>
      <color theme="1"/>
      <name val="ＭＳ Ｐゴシック"/>
      <family val="3"/>
      <scheme val="minor"/>
    </font>
    <font>
      <sz val="14"/>
      <color theme="1"/>
      <name val="ＭＳ Ｐゴシック"/>
      <family val="3"/>
      <scheme val="minor"/>
    </font>
    <font>
      <sz val="36"/>
      <color theme="1"/>
      <name val="ＭＳ Ｐゴシック"/>
      <family val="3"/>
      <scheme val="minor"/>
    </font>
    <font>
      <sz val="12"/>
      <color theme="1"/>
      <name val="ＭＳ Ｐゴシック"/>
      <family val="3"/>
      <scheme val="minor"/>
    </font>
    <font>
      <sz val="9"/>
      <color theme="1"/>
      <name val="ＭＳ Ｐゴシック"/>
      <family val="3"/>
      <scheme val="minor"/>
    </font>
    <font>
      <sz val="26"/>
      <color theme="1"/>
      <name val="ＭＳ Ｐゴシック"/>
      <family val="3"/>
      <scheme val="minor"/>
    </font>
    <font>
      <sz val="16"/>
      <color theme="1"/>
      <name val="ＭＳ Ｐゴシック"/>
      <family val="3"/>
      <scheme val="minor"/>
    </font>
    <font>
      <sz val="12"/>
      <color theme="1"/>
      <name val="ＭＳ 明朝"/>
      <family val="1"/>
    </font>
    <font>
      <b/>
      <sz val="12"/>
      <color theme="1"/>
      <name val="ＭＳ Ｐゴシック"/>
      <family val="3"/>
      <scheme val="minor"/>
    </font>
    <font>
      <b/>
      <sz val="11"/>
      <color theme="1"/>
      <name val="ＭＳ Ｐゴシック"/>
      <family val="3"/>
      <scheme val="minor"/>
    </font>
    <font>
      <b/>
      <sz val="11"/>
      <color theme="0"/>
      <name val="ＭＳ Ｐゴシック"/>
      <family val="3"/>
      <scheme val="minor"/>
    </font>
    <font>
      <b/>
      <sz val="11"/>
      <color auto="1"/>
      <name val="ＭＳ Ｐゴシック"/>
      <family val="3"/>
    </font>
    <font>
      <sz val="11"/>
      <color auto="1"/>
      <name val="ＭＳ Ｐゴシック"/>
      <family val="3"/>
    </font>
    <font>
      <sz val="11"/>
      <color theme="2" tint="-0.5"/>
      <name val="ＭＳ Ｐゴシック"/>
      <family val="3"/>
    </font>
    <font>
      <b/>
      <sz val="11"/>
      <color theme="2" tint="-0.5"/>
      <name val="ＭＳ Ｐゴシック"/>
      <family val="3"/>
    </font>
    <font>
      <b/>
      <sz val="10"/>
      <color theme="1"/>
      <name val="ＭＳ Ｐゴシック"/>
      <family val="3"/>
    </font>
    <font>
      <b/>
      <sz val="14"/>
      <color theme="1"/>
      <name val="ＭＳ Ｐゴシック"/>
      <family val="3"/>
      <scheme val="minor"/>
    </font>
    <font>
      <b/>
      <sz val="18"/>
      <color theme="1"/>
      <name val="ＭＳ Ｐゴシック"/>
      <family val="3"/>
      <scheme val="minor"/>
    </font>
    <font>
      <sz val="11"/>
      <color rgb="FFFF0000"/>
      <name val="ＭＳ Ｐゴシック"/>
      <family val="3"/>
      <scheme val="minor"/>
    </font>
    <font>
      <b/>
      <sz val="11"/>
      <color rgb="FFFF0000"/>
      <name val="ＭＳ Ｐゴシック"/>
      <family val="3"/>
      <scheme val="minor"/>
    </font>
    <font>
      <u/>
      <sz val="11"/>
      <color theme="10"/>
      <name val="ＭＳ Ｐゴシック"/>
      <family val="3"/>
      <scheme val="minor"/>
    </font>
    <font>
      <sz val="12"/>
      <color theme="1"/>
      <name val="Hgpｺﾞｼｯｸm"/>
      <family val="3"/>
    </font>
    <font>
      <sz val="10"/>
      <color theme="1"/>
      <name val="Hgpｺﾞｼｯｸm"/>
      <family val="3"/>
    </font>
    <font>
      <sz val="11"/>
      <color auto="1"/>
      <name val="Calibri"/>
      <family val="2"/>
    </font>
    <font>
      <b/>
      <sz val="12"/>
      <color theme="1"/>
      <name val="ＭＳ ゴシック"/>
      <family val="3"/>
    </font>
    <font>
      <b/>
      <sz val="12"/>
      <color rgb="FF000000"/>
      <name val="ＭＳ ゴシック"/>
      <family val="3"/>
    </font>
    <font>
      <sz val="10.5"/>
      <color theme="1"/>
      <name val="ＭＳ ゴシック"/>
      <family val="3"/>
    </font>
    <font>
      <sz val="12"/>
      <color theme="1"/>
      <name val="ＭＳ ゴシック"/>
      <family val="3"/>
    </font>
    <font>
      <sz val="11"/>
      <color theme="1"/>
      <name val="ＭＳ ゴシック"/>
      <family val="3"/>
    </font>
    <font>
      <sz val="10"/>
      <color theme="1"/>
      <name val="ＭＳ ゴシック"/>
      <family val="3"/>
    </font>
    <font>
      <b/>
      <sz val="12"/>
      <color rgb="FFFF0000"/>
      <name val="ＭＳ ゴシック"/>
      <family val="3"/>
    </font>
    <font>
      <sz val="11"/>
      <color rgb="FFFF0000"/>
      <name val="ＭＳ ゴシック"/>
      <family val="3"/>
    </font>
    <font>
      <sz val="10.5"/>
      <color rgb="FFFF0000"/>
      <name val="ＭＳ 明朝"/>
      <family val="1"/>
    </font>
    <font>
      <b/>
      <sz val="10.5"/>
      <color theme="1"/>
      <name val="ＭＳ ゴシック"/>
      <family val="3"/>
    </font>
    <font>
      <b/>
      <sz val="9"/>
      <color theme="1"/>
      <name val="ＭＳ ゴシック"/>
      <family val="3"/>
    </font>
    <font>
      <sz val="10"/>
      <color rgb="FFFF0000"/>
      <name val="ＭＳ ゴシック"/>
      <family val="3"/>
    </font>
    <font>
      <sz val="9"/>
      <color theme="1"/>
      <name val="ＭＳ ゴシック"/>
      <family val="3"/>
    </font>
    <font>
      <sz val="6"/>
      <color auto="1"/>
      <name val="游ゴシック"/>
    </font>
  </fonts>
  <fills count="11">
    <fill>
      <patternFill patternType="none"/>
    </fill>
    <fill>
      <patternFill patternType="gray125"/>
    </fill>
    <fill>
      <patternFill patternType="solid">
        <fgColor theme="2" tint="0.8"/>
        <bgColor indexed="64"/>
      </patternFill>
    </fill>
    <fill>
      <patternFill patternType="solid">
        <fgColor theme="2" tint="0.6"/>
        <bgColor indexed="64"/>
      </patternFill>
    </fill>
    <fill>
      <patternFill patternType="solid">
        <fgColor theme="0" tint="-0.5"/>
        <bgColor indexed="64"/>
      </patternFill>
    </fill>
    <fill>
      <patternFill patternType="solid">
        <fgColor theme="0" tint="-0.15"/>
        <bgColor indexed="64"/>
      </patternFill>
    </fill>
    <fill>
      <patternFill patternType="solid">
        <fgColor theme="9" tint="0.8"/>
        <bgColor indexed="64"/>
      </patternFill>
    </fill>
    <fill>
      <patternFill patternType="solid">
        <fgColor theme="0"/>
        <bgColor indexed="64"/>
      </patternFill>
    </fill>
    <fill>
      <patternFill patternType="solid">
        <fgColor rgb="FFE7E6E6"/>
        <bgColor rgb="FFE7E6E6"/>
      </patternFill>
    </fill>
    <fill>
      <patternFill patternType="solid">
        <fgColor theme="3" tint="0.6"/>
        <bgColor indexed="64"/>
      </patternFill>
    </fill>
    <fill>
      <patternFill patternType="solid">
        <fgColor rgb="FFCCFFFF"/>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498">
    <xf numFmtId="0" fontId="0" fillId="0" borderId="0" xfId="0">
      <alignment vertical="center"/>
    </xf>
    <xf numFmtId="0" fontId="0" fillId="2" borderId="1" xfId="0" applyFill="1" applyBorder="1" applyAlignment="1">
      <alignment horizontal="center" vertical="center" wrapText="1"/>
    </xf>
    <xf numFmtId="0" fontId="0" fillId="0" borderId="1" xfId="0" applyBorder="1">
      <alignment vertical="center"/>
    </xf>
    <xf numFmtId="0" fontId="2" fillId="3" borderId="1" xfId="0" applyFont="1" applyFill="1" applyBorder="1" applyAlignment="1">
      <alignment vertical="center" shrinkToFit="1"/>
    </xf>
    <xf numFmtId="0" fontId="0" fillId="3" borderId="1" xfId="0" applyFont="1" applyFill="1" applyBorder="1" applyAlignment="1">
      <alignment horizontal="right" vertical="center"/>
    </xf>
    <xf numFmtId="0" fontId="0" fillId="2" borderId="1" xfId="0" applyFill="1" applyBorder="1" applyAlignment="1">
      <alignment horizontal="center" vertical="center"/>
    </xf>
    <xf numFmtId="0" fontId="0" fillId="0" borderId="1" xfId="0" applyBorder="1" applyAlignment="1">
      <alignment horizontal="left" vertical="center"/>
    </xf>
    <xf numFmtId="0" fontId="0" fillId="3" borderId="2" xfId="0" applyFont="1" applyFill="1" applyBorder="1" applyAlignment="1">
      <alignment horizontal="left" vertical="center"/>
    </xf>
    <xf numFmtId="0" fontId="0" fillId="3" borderId="1" xfId="0" applyFont="1" applyFill="1" applyBorder="1">
      <alignment vertical="center"/>
    </xf>
    <xf numFmtId="0" fontId="0" fillId="3" borderId="1"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2" borderId="1" xfId="0" applyFill="1" applyBorder="1">
      <alignment vertical="center"/>
    </xf>
    <xf numFmtId="0" fontId="0" fillId="0" borderId="0" xfId="0"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0" fillId="0" borderId="0" xfId="0"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Border="1" applyAlignment="1">
      <alignment horizontal="lef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Fill="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3" xfId="0" applyFont="1" applyFill="1" applyBorder="1" applyAlignment="1">
      <alignment horizontal="left" vertical="center"/>
    </xf>
    <xf numFmtId="0" fontId="5" fillId="0" borderId="11" xfId="0" applyFont="1" applyBorder="1" applyAlignment="1">
      <alignment horizontal="left" vertical="center"/>
    </xf>
    <xf numFmtId="0" fontId="5" fillId="0" borderId="12"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2" xfId="0" applyFont="1" applyFill="1" applyBorder="1" applyAlignment="1">
      <alignment horizontal="left" vertical="center"/>
    </xf>
    <xf numFmtId="0" fontId="9" fillId="0" borderId="14" xfId="0" applyFont="1" applyBorder="1" applyAlignment="1">
      <alignment horizontal="left" vertical="center"/>
    </xf>
    <xf numFmtId="0" fontId="9" fillId="0" borderId="10" xfId="0" applyFont="1" applyFill="1" applyBorder="1" applyAlignment="1">
      <alignment horizontal="left" vertical="center"/>
    </xf>
    <xf numFmtId="0" fontId="9" fillId="0" borderId="3" xfId="0" applyFont="1" applyFill="1" applyBorder="1" applyAlignment="1">
      <alignment horizontal="left" vertical="center"/>
    </xf>
    <xf numFmtId="0" fontId="9" fillId="0" borderId="11" xfId="0" applyFont="1" applyBorder="1" applyAlignment="1">
      <alignment horizontal="left" vertical="center"/>
    </xf>
    <xf numFmtId="0" fontId="5" fillId="0" borderId="15" xfId="0" applyFont="1" applyFill="1" applyBorder="1" applyAlignment="1">
      <alignment horizontal="center" vertical="center"/>
    </xf>
    <xf numFmtId="0" fontId="9" fillId="0" borderId="16" xfId="0" applyFont="1" applyFill="1" applyBorder="1" applyAlignment="1">
      <alignment horizontal="left" vertical="center"/>
    </xf>
    <xf numFmtId="0" fontId="9" fillId="0" borderId="4" xfId="0" applyFont="1" applyFill="1" applyBorder="1" applyAlignment="1">
      <alignment horizontal="left" vertical="center"/>
    </xf>
    <xf numFmtId="0" fontId="9" fillId="0" borderId="17" xfId="0" applyFont="1" applyBorder="1" applyAlignment="1">
      <alignment horizontal="left" vertical="center"/>
    </xf>
    <xf numFmtId="0" fontId="5" fillId="0" borderId="18" xfId="0" applyFont="1" applyFill="1" applyBorder="1" applyAlignment="1">
      <alignment horizontal="center"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Border="1" applyAlignment="1">
      <alignment horizontal="left" vertical="center"/>
    </xf>
    <xf numFmtId="0" fontId="10" fillId="0" borderId="0" xfId="0" applyFont="1">
      <alignment vertical="center"/>
    </xf>
    <xf numFmtId="0" fontId="11" fillId="0" borderId="0" xfId="0" applyFont="1">
      <alignment vertical="center"/>
    </xf>
    <xf numFmtId="0" fontId="12" fillId="4" borderId="22" xfId="0" applyFont="1" applyFill="1" applyBorder="1" applyAlignment="1">
      <alignment horizontal="center" vertical="center"/>
    </xf>
    <xf numFmtId="0" fontId="11" fillId="0" borderId="23" xfId="0" applyFont="1" applyBorder="1">
      <alignment vertical="center"/>
    </xf>
    <xf numFmtId="0" fontId="0" fillId="0" borderId="24" xfId="0" applyBorder="1" applyAlignment="1">
      <alignment vertical="top" wrapText="1"/>
    </xf>
    <xf numFmtId="0" fontId="11" fillId="0" borderId="23" xfId="0" applyFont="1" applyBorder="1" applyAlignment="1">
      <alignment vertical="top"/>
    </xf>
    <xf numFmtId="0" fontId="0" fillId="0" borderId="25" xfId="0" applyBorder="1" applyAlignment="1">
      <alignment horizontal="right" vertical="center"/>
    </xf>
    <xf numFmtId="0" fontId="10" fillId="0" borderId="0" xfId="0" applyFont="1" applyAlignment="1">
      <alignment horizontal="center" vertical="center"/>
    </xf>
    <xf numFmtId="0" fontId="11" fillId="5"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vertical="top" wrapText="1"/>
    </xf>
    <xf numFmtId="0" fontId="0" fillId="5" borderId="26" xfId="0" applyFont="1" applyFill="1" applyBorder="1" applyAlignment="1">
      <alignment horizontal="center" vertical="center"/>
    </xf>
    <xf numFmtId="0" fontId="0" fillId="5" borderId="27" xfId="0" applyFont="1" applyFill="1" applyBorder="1" applyAlignment="1">
      <alignment horizontal="center" vertical="center"/>
    </xf>
    <xf numFmtId="0" fontId="0" fillId="5" borderId="28"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27" xfId="0" applyFont="1" applyFill="1" applyBorder="1" applyAlignment="1">
      <alignment horizontal="center" vertical="center"/>
    </xf>
    <xf numFmtId="0" fontId="13" fillId="7" borderId="27" xfId="0" applyFont="1" applyFill="1" applyBorder="1" applyAlignment="1">
      <alignment horizontal="center" vertical="center"/>
    </xf>
    <xf numFmtId="0" fontId="13" fillId="0" borderId="27"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3" borderId="26" xfId="0" applyFont="1" applyFill="1" applyBorder="1" applyAlignment="1">
      <alignment horizontal="center" vertical="center"/>
    </xf>
    <xf numFmtId="0" fontId="0" fillId="5" borderId="29"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30"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3" borderId="29" xfId="0" applyFont="1" applyFill="1" applyBorder="1" applyAlignment="1">
      <alignment horizontal="center" vertical="center"/>
    </xf>
    <xf numFmtId="0" fontId="0" fillId="5" borderId="31"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32"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4" xfId="0" applyFont="1" applyFill="1" applyBorder="1" applyAlignment="1">
      <alignment horizontal="center" vertical="center"/>
    </xf>
    <xf numFmtId="0" fontId="13" fillId="7" borderId="34" xfId="0" applyFont="1" applyFill="1" applyBorder="1" applyAlignment="1">
      <alignment horizontal="center" vertical="center"/>
    </xf>
    <xf numFmtId="0" fontId="13" fillId="0" borderId="34"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3" borderId="31" xfId="0" applyFont="1" applyFill="1" applyBorder="1" applyAlignment="1">
      <alignment horizontal="center" vertical="center"/>
    </xf>
    <xf numFmtId="0" fontId="11" fillId="5" borderId="26" xfId="0" applyFont="1" applyFill="1" applyBorder="1" applyAlignment="1">
      <alignment horizontal="center" vertical="center"/>
    </xf>
    <xf numFmtId="0" fontId="11" fillId="5" borderId="27" xfId="0" applyFont="1" applyFill="1" applyBorder="1" applyAlignment="1">
      <alignment horizontal="center" vertical="center"/>
    </xf>
    <xf numFmtId="0" fontId="11" fillId="5" borderId="28" xfId="0" applyFont="1" applyFill="1" applyBorder="1" applyAlignment="1">
      <alignment horizontal="center" vertical="center"/>
    </xf>
    <xf numFmtId="0" fontId="0" fillId="6" borderId="16" xfId="0" applyFill="1" applyBorder="1" applyAlignment="1">
      <alignment horizontal="center" vertical="center"/>
    </xf>
    <xf numFmtId="0" fontId="0" fillId="6" borderId="4" xfId="0" applyFill="1" applyBorder="1" applyAlignment="1">
      <alignment horizontal="center" vertical="center"/>
    </xf>
    <xf numFmtId="0" fontId="0" fillId="7" borderId="4" xfId="0" applyFill="1" applyBorder="1" applyAlignment="1">
      <alignment horizontal="center" vertical="center"/>
    </xf>
    <xf numFmtId="0" fontId="0" fillId="0" borderId="4" xfId="0" applyBorder="1" applyAlignment="1">
      <alignment horizontal="center" vertical="center"/>
    </xf>
    <xf numFmtId="0" fontId="0" fillId="0" borderId="36" xfId="0" applyBorder="1" applyAlignment="1">
      <alignment horizontal="center" vertical="center"/>
    </xf>
    <xf numFmtId="0" fontId="11" fillId="3" borderId="26"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4" xfId="0" applyFont="1" applyFill="1" applyBorder="1" applyAlignment="1">
      <alignment horizontal="center" vertical="center"/>
    </xf>
    <xf numFmtId="0" fontId="14" fillId="7" borderId="4" xfId="0" applyFont="1" applyFill="1" applyBorder="1" applyAlignment="1">
      <alignment horizontal="center" vertical="center"/>
    </xf>
    <xf numFmtId="0" fontId="15" fillId="7" borderId="4" xfId="0" applyFont="1" applyFill="1" applyBorder="1" applyAlignment="1">
      <alignment horizontal="center" vertical="center"/>
    </xf>
    <xf numFmtId="0" fontId="15" fillId="0" borderId="4" xfId="0" applyFont="1" applyBorder="1" applyAlignment="1">
      <alignment horizontal="center" vertical="center"/>
    </xf>
    <xf numFmtId="0" fontId="11" fillId="5" borderId="29" xfId="0" applyFont="1" applyFill="1" applyBorder="1" applyAlignment="1">
      <alignment horizontal="center" vertical="center"/>
    </xf>
    <xf numFmtId="0" fontId="11" fillId="5" borderId="30" xfId="0" applyFont="1" applyFill="1" applyBorder="1" applyAlignment="1">
      <alignment horizontal="center" vertical="center"/>
    </xf>
    <xf numFmtId="0" fontId="0" fillId="6" borderId="37"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11" fillId="3" borderId="29"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1" xfId="0" applyFont="1" applyFill="1" applyBorder="1" applyAlignment="1">
      <alignment horizontal="center" vertical="center"/>
    </xf>
    <xf numFmtId="0" fontId="14" fillId="7" borderId="1" xfId="0" applyFont="1" applyFill="1" applyBorder="1" applyAlignment="1">
      <alignment horizontal="center" vertical="center"/>
    </xf>
    <xf numFmtId="0" fontId="15" fillId="7" borderId="1" xfId="0" applyFont="1" applyFill="1" applyBorder="1" applyAlignment="1">
      <alignment horizontal="center" vertical="center"/>
    </xf>
    <xf numFmtId="0" fontId="15" fillId="0" borderId="1" xfId="0" applyFont="1" applyBorder="1" applyAlignment="1">
      <alignment horizontal="center" vertical="center"/>
    </xf>
    <xf numFmtId="0" fontId="11" fillId="5" borderId="3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2"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2" xfId="0" applyFont="1" applyFill="1" applyBorder="1" applyAlignment="1">
      <alignment horizontal="center" vertical="center"/>
    </xf>
    <xf numFmtId="0" fontId="14" fillId="7" borderId="2" xfId="0" applyFont="1" applyFill="1" applyBorder="1" applyAlignment="1">
      <alignment horizontal="center" vertical="center"/>
    </xf>
    <xf numFmtId="0" fontId="15" fillId="7" borderId="2" xfId="0" applyFont="1" applyFill="1" applyBorder="1" applyAlignment="1">
      <alignment horizontal="center" vertical="center"/>
    </xf>
    <xf numFmtId="0" fontId="15" fillId="0" borderId="2" xfId="0" applyFont="1" applyBorder="1" applyAlignment="1">
      <alignment horizontal="center" vertical="center"/>
    </xf>
    <xf numFmtId="0" fontId="0" fillId="0" borderId="2" xfId="0" applyBorder="1" applyAlignment="1">
      <alignment horizontal="center" vertical="center"/>
    </xf>
    <xf numFmtId="0" fontId="0" fillId="0" borderId="32" xfId="0" applyFont="1" applyBorder="1" applyAlignment="1">
      <alignment horizontal="center" vertical="center"/>
    </xf>
    <xf numFmtId="0" fontId="11" fillId="5" borderId="26" xfId="0" applyFont="1" applyFill="1" applyBorder="1" applyAlignment="1">
      <alignment horizontal="center" vertical="center" wrapText="1"/>
    </xf>
    <xf numFmtId="0" fontId="13" fillId="6" borderId="38" xfId="0" applyFont="1" applyFill="1" applyBorder="1" applyAlignment="1">
      <alignment horizontal="center" vertical="center"/>
    </xf>
    <xf numFmtId="0" fontId="16" fillId="7" borderId="27" xfId="0" applyFont="1" applyFill="1" applyBorder="1" applyAlignment="1">
      <alignment horizontal="center" vertical="center"/>
    </xf>
    <xf numFmtId="0" fontId="0" fillId="7" borderId="27" xfId="0" applyFill="1" applyBorder="1" applyAlignment="1">
      <alignment horizontal="center" vertical="center"/>
    </xf>
    <xf numFmtId="0" fontId="0" fillId="7" borderId="28" xfId="0" applyFont="1" applyFill="1" applyBorder="1" applyAlignment="1">
      <alignment horizontal="center" vertical="center"/>
    </xf>
    <xf numFmtId="0" fontId="13" fillId="6" borderId="37" xfId="0" applyFont="1" applyFill="1" applyBorder="1" applyAlignment="1">
      <alignment horizontal="center" vertical="center"/>
    </xf>
    <xf numFmtId="0" fontId="16" fillId="7" borderId="1" xfId="0" applyFont="1" applyFill="1" applyBorder="1" applyAlignment="1">
      <alignment horizontal="center" vertical="center"/>
    </xf>
    <xf numFmtId="0" fontId="0" fillId="7" borderId="30" xfId="0" applyFont="1" applyFill="1" applyBorder="1" applyAlignment="1">
      <alignment horizontal="center" vertical="center"/>
    </xf>
    <xf numFmtId="0" fontId="11" fillId="5" borderId="33" xfId="0" applyFont="1" applyFill="1" applyBorder="1" applyAlignment="1">
      <alignment horizontal="center" vertical="center"/>
    </xf>
    <xf numFmtId="0" fontId="11" fillId="5" borderId="34" xfId="0" applyFont="1" applyFill="1" applyBorder="1" applyAlignment="1">
      <alignment horizontal="center" vertical="center"/>
    </xf>
    <xf numFmtId="0" fontId="11" fillId="5" borderId="35" xfId="0" applyFont="1" applyFill="1" applyBorder="1" applyAlignment="1">
      <alignment horizontal="center" vertical="center"/>
    </xf>
    <xf numFmtId="0" fontId="13" fillId="6" borderId="39" xfId="0" applyFont="1" applyFill="1" applyBorder="1" applyAlignment="1">
      <alignment horizontal="center" vertical="center"/>
    </xf>
    <xf numFmtId="0" fontId="16" fillId="7" borderId="34" xfId="0" applyFont="1" applyFill="1" applyBorder="1" applyAlignment="1">
      <alignment horizontal="center" vertical="center"/>
    </xf>
    <xf numFmtId="0" fontId="0" fillId="7" borderId="34" xfId="0" applyFill="1" applyBorder="1" applyAlignment="1">
      <alignment horizontal="center" vertical="center"/>
    </xf>
    <xf numFmtId="0" fontId="0" fillId="7" borderId="35" xfId="0" applyFont="1" applyFill="1" applyBorder="1" applyAlignment="1">
      <alignment horizontal="center" vertical="center"/>
    </xf>
    <xf numFmtId="9" fontId="14" fillId="6" borderId="38" xfId="0" applyNumberFormat="1" applyFont="1" applyFill="1" applyBorder="1" applyAlignment="1">
      <alignment horizontal="center" vertical="center"/>
    </xf>
    <xf numFmtId="0" fontId="14" fillId="6" borderId="27" xfId="0" applyFont="1" applyFill="1" applyBorder="1" applyAlignment="1">
      <alignment horizontal="center" vertical="center"/>
    </xf>
    <xf numFmtId="9" fontId="14" fillId="0" borderId="27" xfId="0" applyNumberFormat="1" applyFont="1" applyBorder="1" applyAlignment="1">
      <alignment horizontal="center" vertical="center"/>
    </xf>
    <xf numFmtId="0" fontId="14" fillId="0" borderId="27" xfId="0" applyFont="1" applyBorder="1" applyAlignment="1">
      <alignment horizontal="center" vertical="center"/>
    </xf>
    <xf numFmtId="9" fontId="15" fillId="0" borderId="27" xfId="0" applyNumberFormat="1" applyFont="1" applyBorder="1" applyAlignment="1">
      <alignment horizontal="center" vertical="center"/>
    </xf>
    <xf numFmtId="0" fontId="15" fillId="0" borderId="27" xfId="0" applyFont="1" applyBorder="1" applyAlignment="1">
      <alignment horizontal="center" vertical="center"/>
    </xf>
    <xf numFmtId="9" fontId="15" fillId="0" borderId="27" xfId="0" applyNumberFormat="1" applyFont="1" applyBorder="1" applyAlignment="1">
      <alignment horizontal="center" vertical="center" wrapText="1"/>
    </xf>
    <xf numFmtId="0" fontId="14" fillId="0" borderId="1" xfId="0" applyFont="1" applyBorder="1" applyAlignment="1">
      <alignment horizontal="center" vertical="center"/>
    </xf>
    <xf numFmtId="0" fontId="14" fillId="6" borderId="39" xfId="0" applyFont="1" applyFill="1" applyBorder="1" applyAlignment="1">
      <alignment horizontal="center" vertical="center"/>
    </xf>
    <xf numFmtId="0" fontId="14" fillId="6" borderId="34" xfId="0" applyFont="1" applyFill="1" applyBorder="1" applyAlignment="1">
      <alignment horizontal="center" vertical="center"/>
    </xf>
    <xf numFmtId="0" fontId="14" fillId="0" borderId="34" xfId="0" applyFont="1" applyBorder="1" applyAlignment="1">
      <alignment horizontal="center" vertical="center"/>
    </xf>
    <xf numFmtId="0" fontId="15" fillId="0" borderId="34" xfId="0" applyFont="1" applyBorder="1" applyAlignment="1">
      <alignment horizontal="center" vertical="center"/>
    </xf>
    <xf numFmtId="0" fontId="11" fillId="5" borderId="40"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1" xfId="0" applyFont="1" applyFill="1" applyBorder="1" applyAlignment="1">
      <alignment horizontal="center" vertical="center" wrapText="1"/>
    </xf>
    <xf numFmtId="0" fontId="14" fillId="6" borderId="40" xfId="0" applyFont="1" applyFill="1" applyBorder="1" applyAlignment="1">
      <alignment horizontal="center" vertical="center"/>
    </xf>
    <xf numFmtId="0" fontId="14" fillId="6" borderId="10" xfId="0" applyFont="1" applyFill="1" applyBorder="1" applyAlignment="1">
      <alignment horizontal="center" vertical="center"/>
    </xf>
    <xf numFmtId="0" fontId="14" fillId="0" borderId="41" xfId="0" applyFont="1" applyBorder="1" applyAlignment="1">
      <alignment horizontal="center" vertical="center"/>
    </xf>
    <xf numFmtId="0" fontId="14" fillId="0" borderId="10" xfId="0" applyFont="1" applyBorder="1" applyAlignment="1">
      <alignment horizontal="center" vertical="center"/>
    </xf>
    <xf numFmtId="0" fontId="15" fillId="0" borderId="41" xfId="0" applyFont="1" applyBorder="1" applyAlignment="1">
      <alignment horizontal="center" vertical="center"/>
    </xf>
    <xf numFmtId="0" fontId="15" fillId="0" borderId="10" xfId="0" applyFont="1" applyBorder="1" applyAlignment="1">
      <alignment horizontal="center" vertical="center"/>
    </xf>
    <xf numFmtId="0" fontId="15" fillId="0" borderId="41" xfId="0" applyFont="1" applyBorder="1" applyAlignment="1">
      <alignment horizontal="center" vertical="center" wrapText="1"/>
    </xf>
    <xf numFmtId="0" fontId="0" fillId="0" borderId="41" xfId="0" applyBorder="1" applyAlignment="1">
      <alignment horizontal="center" vertical="center"/>
    </xf>
    <xf numFmtId="0" fontId="0" fillId="0" borderId="11" xfId="0" applyFont="1" applyBorder="1" applyAlignment="1">
      <alignment horizontal="center" vertical="center"/>
    </xf>
    <xf numFmtId="0" fontId="11" fillId="5" borderId="42"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4" fillId="6" borderId="42" xfId="0" applyFont="1" applyFill="1" applyBorder="1" applyAlignment="1">
      <alignment horizontal="center" vertical="center"/>
    </xf>
    <xf numFmtId="0" fontId="14" fillId="0" borderId="44" xfId="0" applyFont="1" applyBorder="1" applyAlignment="1">
      <alignment horizontal="center" vertical="center"/>
    </xf>
    <xf numFmtId="0" fontId="14" fillId="0" borderId="16" xfId="0" applyFont="1" applyBorder="1" applyAlignment="1">
      <alignment horizontal="center" vertical="center"/>
    </xf>
    <xf numFmtId="0" fontId="15" fillId="0" borderId="44" xfId="0" applyFont="1" applyBorder="1" applyAlignment="1">
      <alignment horizontal="center" vertical="center"/>
    </xf>
    <xf numFmtId="0" fontId="15" fillId="0" borderId="16" xfId="0" applyFont="1" applyBorder="1" applyAlignment="1">
      <alignment horizontal="center" vertical="center"/>
    </xf>
    <xf numFmtId="0" fontId="0" fillId="0" borderId="44" xfId="0" applyBorder="1" applyAlignment="1">
      <alignment horizontal="center" vertical="center"/>
    </xf>
    <xf numFmtId="0" fontId="0" fillId="0" borderId="17" xfId="0" applyFont="1" applyBorder="1" applyAlignment="1">
      <alignment horizontal="center" vertical="center"/>
    </xf>
    <xf numFmtId="0" fontId="11" fillId="5" borderId="29"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4" fillId="6" borderId="45" xfId="0" applyFont="1" applyFill="1" applyBorder="1" applyAlignment="1">
      <alignment horizontal="center" vertical="center"/>
    </xf>
    <xf numFmtId="0" fontId="14" fillId="6" borderId="46" xfId="0" applyFont="1" applyFill="1" applyBorder="1" applyAlignment="1">
      <alignment horizontal="center" vertical="center"/>
    </xf>
    <xf numFmtId="0" fontId="14" fillId="0" borderId="47" xfId="0" applyFont="1" applyBorder="1" applyAlignment="1">
      <alignment horizontal="center" vertical="center"/>
    </xf>
    <xf numFmtId="0" fontId="14" fillId="0" borderId="13" xfId="0" applyFont="1" applyBorder="1" applyAlignment="1">
      <alignment horizontal="center" vertical="center"/>
    </xf>
    <xf numFmtId="0" fontId="15" fillId="0" borderId="46" xfId="0" applyFont="1" applyBorder="1" applyAlignment="1">
      <alignment horizontal="center" vertical="center"/>
    </xf>
    <xf numFmtId="0" fontId="15" fillId="0" borderId="13" xfId="0" applyFont="1" applyBorder="1" applyAlignment="1">
      <alignment horizontal="center" vertical="center"/>
    </xf>
    <xf numFmtId="0" fontId="15" fillId="0" borderId="47" xfId="0" applyFont="1" applyBorder="1" applyAlignment="1">
      <alignment horizontal="center" vertical="center"/>
    </xf>
    <xf numFmtId="0" fontId="0" fillId="0" borderId="47" xfId="0" applyFont="1" applyBorder="1" applyAlignment="1">
      <alignment horizontal="center" vertical="center"/>
    </xf>
    <xf numFmtId="0" fontId="0" fillId="0" borderId="14" xfId="0" applyFont="1" applyBorder="1" applyAlignment="1">
      <alignment horizontal="center" vertical="center"/>
    </xf>
    <xf numFmtId="0" fontId="14" fillId="6" borderId="0" xfId="0" applyFont="1" applyFill="1" applyAlignment="1">
      <alignment horizontal="center" vertical="center"/>
    </xf>
    <xf numFmtId="0" fontId="15" fillId="0" borderId="0" xfId="0" applyFont="1" applyAlignment="1">
      <alignment horizontal="center" vertical="center"/>
    </xf>
    <xf numFmtId="0" fontId="14" fillId="6" borderId="43" xfId="0" applyFont="1" applyFill="1" applyBorder="1" applyAlignment="1">
      <alignment horizontal="center" vertical="center"/>
    </xf>
    <xf numFmtId="0" fontId="15" fillId="0" borderId="43" xfId="0" applyFont="1" applyBorder="1" applyAlignment="1">
      <alignment horizontal="center" vertical="center"/>
    </xf>
    <xf numFmtId="0" fontId="11" fillId="5" borderId="45" xfId="0" applyFont="1" applyFill="1" applyBorder="1" applyAlignment="1">
      <alignment horizontal="center" vertical="center"/>
    </xf>
    <xf numFmtId="0" fontId="11" fillId="5" borderId="46" xfId="0" applyFont="1" applyFill="1" applyBorder="1" applyAlignment="1">
      <alignment horizontal="center" vertical="center"/>
    </xf>
    <xf numFmtId="0" fontId="11" fillId="5" borderId="14" xfId="0" applyFont="1" applyFill="1" applyBorder="1" applyAlignment="1">
      <alignment horizontal="center" vertical="center"/>
    </xf>
    <xf numFmtId="0" fontId="0" fillId="6" borderId="45" xfId="0" applyFill="1" applyBorder="1" applyAlignment="1">
      <alignment horizontal="center" vertical="center"/>
    </xf>
    <xf numFmtId="0" fontId="0" fillId="6" borderId="13" xfId="0" applyFill="1" applyBorder="1" applyAlignment="1">
      <alignment horizontal="center" vertical="center"/>
    </xf>
    <xf numFmtId="0" fontId="0" fillId="7" borderId="47" xfId="0" applyFill="1" applyBorder="1" applyAlignment="1">
      <alignment horizontal="center" vertical="center"/>
    </xf>
    <xf numFmtId="0" fontId="0" fillId="7" borderId="13" xfId="0" applyFill="1" applyBorder="1" applyAlignment="1">
      <alignment horizontal="center" vertical="center"/>
    </xf>
    <xf numFmtId="0" fontId="0" fillId="0" borderId="13" xfId="0" applyFont="1" applyBorder="1" applyAlignment="1">
      <alignment horizontal="center" vertical="center"/>
    </xf>
    <xf numFmtId="0" fontId="11" fillId="5" borderId="40" xfId="0" applyFont="1" applyFill="1" applyBorder="1" applyAlignment="1">
      <alignment horizontal="center" vertical="center"/>
    </xf>
    <xf numFmtId="0" fontId="11" fillId="5" borderId="0" xfId="0" applyFont="1" applyFill="1" applyAlignment="1">
      <alignment horizontal="center" vertical="center"/>
    </xf>
    <xf numFmtId="0" fontId="11" fillId="5" borderId="11" xfId="0" applyFont="1" applyFill="1" applyBorder="1" applyAlignment="1">
      <alignment horizontal="center" vertical="center"/>
    </xf>
    <xf numFmtId="0" fontId="0" fillId="6" borderId="40" xfId="0" applyFill="1" applyBorder="1" applyAlignment="1">
      <alignment horizontal="center" vertical="center"/>
    </xf>
    <xf numFmtId="0" fontId="0" fillId="6" borderId="10" xfId="0" applyFill="1" applyBorder="1" applyAlignment="1">
      <alignment horizontal="center" vertical="center"/>
    </xf>
    <xf numFmtId="0" fontId="0" fillId="7" borderId="41" xfId="0" applyFill="1" applyBorder="1" applyAlignment="1">
      <alignment horizontal="center" vertical="center"/>
    </xf>
    <xf numFmtId="0" fontId="0" fillId="7" borderId="10" xfId="0" applyFill="1" applyBorder="1" applyAlignment="1">
      <alignment horizontal="center" vertical="center"/>
    </xf>
    <xf numFmtId="0" fontId="0" fillId="0" borderId="10" xfId="0" applyBorder="1" applyAlignment="1">
      <alignment horizontal="center" vertical="center"/>
    </xf>
    <xf numFmtId="0" fontId="11" fillId="5" borderId="42" xfId="0" applyFont="1" applyFill="1" applyBorder="1" applyAlignment="1">
      <alignment horizontal="center" vertical="center"/>
    </xf>
    <xf numFmtId="0" fontId="11" fillId="5" borderId="43" xfId="0" applyFont="1" applyFill="1" applyBorder="1" applyAlignment="1">
      <alignment horizontal="center" vertical="center"/>
    </xf>
    <xf numFmtId="0" fontId="11" fillId="5" borderId="17" xfId="0" applyFont="1" applyFill="1" applyBorder="1" applyAlignment="1">
      <alignment horizontal="center" vertical="center"/>
    </xf>
    <xf numFmtId="0" fontId="0" fillId="6" borderId="42" xfId="0" applyFill="1" applyBorder="1" applyAlignment="1">
      <alignment horizontal="center" vertical="center"/>
    </xf>
    <xf numFmtId="0" fontId="0" fillId="7" borderId="44" xfId="0" applyFill="1" applyBorder="1" applyAlignment="1">
      <alignment horizontal="center" vertical="center"/>
    </xf>
    <xf numFmtId="0" fontId="0" fillId="7" borderId="16" xfId="0" applyFill="1" applyBorder="1" applyAlignment="1">
      <alignment horizontal="center" vertical="center"/>
    </xf>
    <xf numFmtId="0" fontId="0" fillId="0" borderId="16" xfId="0" applyBorder="1" applyAlignment="1">
      <alignment horizontal="center" vertical="center"/>
    </xf>
    <xf numFmtId="0" fontId="0" fillId="6" borderId="39" xfId="0" applyFill="1" applyBorder="1" applyAlignment="1">
      <alignment horizontal="center" vertical="center"/>
    </xf>
    <xf numFmtId="0" fontId="0" fillId="6" borderId="34" xfId="0" applyFill="1" applyBorder="1" applyAlignment="1">
      <alignment horizontal="center" vertical="center"/>
    </xf>
    <xf numFmtId="0" fontId="17" fillId="5" borderId="48" xfId="0" applyFont="1" applyFill="1" applyBorder="1" applyAlignment="1">
      <alignment horizontal="center" vertical="center" wrapText="1"/>
    </xf>
    <xf numFmtId="0" fontId="17" fillId="5" borderId="4" xfId="0" applyFont="1" applyFill="1" applyBorder="1" applyAlignment="1">
      <alignment horizontal="center" vertical="center"/>
    </xf>
    <xf numFmtId="0" fontId="17" fillId="5" borderId="36" xfId="0" applyFont="1" applyFill="1" applyBorder="1" applyAlignment="1">
      <alignment horizontal="center" vertical="center"/>
    </xf>
    <xf numFmtId="0" fontId="11" fillId="5" borderId="48"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36" xfId="0" applyFont="1" applyFill="1" applyBorder="1" applyAlignment="1">
      <alignment horizontal="center" vertical="center"/>
    </xf>
    <xf numFmtId="0" fontId="14" fillId="6" borderId="16"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0" fontId="0" fillId="0" borderId="4" xfId="0" applyBorder="1" applyAlignment="1">
      <alignment horizontal="center" vertical="center" wrapText="1"/>
    </xf>
    <xf numFmtId="0" fontId="17" fillId="5" borderId="2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30" xfId="0" applyFont="1" applyFill="1" applyBorder="1" applyAlignment="1">
      <alignment horizontal="center" vertical="center"/>
    </xf>
    <xf numFmtId="0" fontId="0" fillId="0" borderId="1" xfId="0" applyBorder="1" applyAlignment="1">
      <alignment horizontal="center" vertical="center" wrapText="1"/>
    </xf>
    <xf numFmtId="0" fontId="17" fillId="5" borderId="33" xfId="0" applyFont="1" applyFill="1" applyBorder="1" applyAlignment="1">
      <alignment horizontal="center" vertical="center"/>
    </xf>
    <xf numFmtId="0" fontId="17" fillId="5" borderId="34" xfId="0" applyFont="1" applyFill="1" applyBorder="1" applyAlignment="1">
      <alignment horizontal="center" vertical="center"/>
    </xf>
    <xf numFmtId="0" fontId="17" fillId="5" borderId="35" xfId="0" applyFont="1" applyFill="1" applyBorder="1" applyAlignment="1">
      <alignment horizontal="center" vertical="center"/>
    </xf>
    <xf numFmtId="0" fontId="0" fillId="0" borderId="34" xfId="0" applyBorder="1" applyAlignment="1">
      <alignment horizontal="center" vertical="center" wrapText="1"/>
    </xf>
    <xf numFmtId="0" fontId="18" fillId="5" borderId="49" xfId="0" applyFont="1" applyFill="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5" fillId="0" borderId="1" xfId="0" applyFont="1" applyFill="1" applyBorder="1" applyAlignment="1">
      <alignment horizontal="center" vertical="center"/>
    </xf>
    <xf numFmtId="0" fontId="19" fillId="0" borderId="0" xfId="0" applyFont="1">
      <alignment vertical="center"/>
    </xf>
    <xf numFmtId="0" fontId="10" fillId="0" borderId="37" xfId="0" applyFont="1" applyBorder="1" applyAlignment="1">
      <alignment horizontal="center" vertical="center" wrapText="1"/>
    </xf>
    <xf numFmtId="0" fontId="10"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37" xfId="0" applyBorder="1">
      <alignment vertical="center"/>
    </xf>
    <xf numFmtId="0" fontId="0" fillId="0" borderId="1" xfId="0" applyBorder="1" applyAlignment="1">
      <alignment vertical="center" wrapText="1"/>
    </xf>
    <xf numFmtId="0" fontId="0" fillId="0" borderId="1" xfId="0" applyFill="1" applyBorder="1">
      <alignment vertical="center"/>
    </xf>
    <xf numFmtId="0" fontId="18" fillId="5" borderId="49" xfId="0" applyFont="1" applyFill="1" applyBorder="1" applyAlignment="1">
      <alignment horizontal="center" vertical="center" wrapText="1"/>
    </xf>
    <xf numFmtId="0" fontId="0" fillId="0" borderId="37" xfId="0" applyBorder="1" applyAlignment="1">
      <alignment horizontal="center" vertical="center"/>
    </xf>
    <xf numFmtId="0" fontId="18" fillId="5" borderId="1" xfId="0" applyFont="1" applyFill="1" applyBorder="1" applyAlignment="1">
      <alignment horizontal="center" vertical="center"/>
    </xf>
    <xf numFmtId="0" fontId="0" fillId="0" borderId="37" xfId="0" applyBorder="1" applyAlignment="1">
      <alignment horizontal="left" vertical="center" wrapText="1"/>
    </xf>
    <xf numFmtId="0" fontId="0" fillId="0" borderId="1" xfId="0" applyBorder="1" applyAlignment="1">
      <alignment horizontal="left" vertical="center" wrapText="1"/>
    </xf>
    <xf numFmtId="0" fontId="0" fillId="0" borderId="37" xfId="0" applyBorder="1" applyAlignment="1">
      <alignment horizontal="center" vertical="center" wrapText="1"/>
    </xf>
    <xf numFmtId="0" fontId="11" fillId="5" borderId="1" xfId="0" applyFont="1" applyFill="1" applyBorder="1" applyAlignment="1">
      <alignment horizontal="left" vertical="center"/>
    </xf>
    <xf numFmtId="0" fontId="11" fillId="0" borderId="0" xfId="0" applyFont="1" applyAlignment="1">
      <alignment horizontal="left" vertical="center"/>
    </xf>
    <xf numFmtId="0" fontId="0" fillId="0" borderId="5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11" fillId="0" borderId="1" xfId="0" applyFont="1" applyBorder="1" applyAlignment="1">
      <alignment horizontal="left" vertical="center"/>
    </xf>
    <xf numFmtId="0" fontId="11" fillId="5" borderId="1" xfId="0" applyFont="1" applyFill="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6" xfId="0" applyFont="1" applyBorder="1" applyAlignment="1">
      <alignment horizontal="center" vertical="center" wrapText="1"/>
    </xf>
    <xf numFmtId="0" fontId="11" fillId="0" borderId="27" xfId="0" applyFont="1" applyFill="1" applyBorder="1" applyAlignment="1">
      <alignment horizontal="center" vertical="center" wrapText="1"/>
    </xf>
    <xf numFmtId="0" fontId="11" fillId="0" borderId="27" xfId="0" applyFont="1" applyFill="1" applyBorder="1" applyAlignment="1">
      <alignment horizontal="center" vertical="center"/>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0" fillId="0" borderId="1" xfId="0" applyBorder="1" applyAlignment="1">
      <alignment horizontal="left" vertical="top"/>
    </xf>
    <xf numFmtId="0" fontId="0" fillId="0" borderId="1" xfId="0" applyBorder="1" applyAlignment="1">
      <alignment horizontal="center" vertical="top" wrapText="1"/>
    </xf>
    <xf numFmtId="0" fontId="0" fillId="0" borderId="30" xfId="0" applyBorder="1" applyAlignment="1">
      <alignment horizontal="left" vertical="top" wrapText="1"/>
    </xf>
    <xf numFmtId="0" fontId="11" fillId="0" borderId="29" xfId="0" applyFont="1" applyBorder="1" applyAlignment="1">
      <alignment horizontal="center" vertical="center"/>
    </xf>
    <xf numFmtId="0" fontId="0" fillId="0" borderId="30" xfId="0" applyBorder="1" applyAlignment="1">
      <alignment horizontal="left" vertical="top"/>
    </xf>
    <xf numFmtId="0" fontId="11" fillId="0" borderId="33" xfId="0" applyFont="1" applyBorder="1" applyAlignment="1">
      <alignment horizontal="center" vertical="center"/>
    </xf>
    <xf numFmtId="0" fontId="0" fillId="0" borderId="34" xfId="0" applyBorder="1" applyAlignment="1">
      <alignment horizontal="left" vertical="top" wrapText="1"/>
    </xf>
    <xf numFmtId="0" fontId="0" fillId="0" borderId="35" xfId="0" applyBorder="1" applyAlignment="1">
      <alignment horizontal="left" vertical="top" wrapText="1"/>
    </xf>
    <xf numFmtId="0" fontId="11" fillId="5" borderId="52" xfId="0" applyFont="1" applyFill="1" applyBorder="1" applyAlignment="1">
      <alignment horizontal="center" vertical="center"/>
    </xf>
    <xf numFmtId="0" fontId="11" fillId="0" borderId="7" xfId="0" applyFont="1" applyBorder="1" applyAlignment="1">
      <alignment horizontal="left" vertical="center"/>
    </xf>
    <xf numFmtId="0" fontId="11" fillId="0" borderId="53"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27" xfId="0" applyFont="1" applyBorder="1">
      <alignment vertical="center"/>
    </xf>
    <xf numFmtId="0" fontId="0" fillId="0" borderId="27" xfId="0" applyFont="1" applyFill="1" applyBorder="1">
      <alignment vertical="center"/>
    </xf>
    <xf numFmtId="0" fontId="11" fillId="0" borderId="54" xfId="0" applyFont="1" applyFill="1" applyBorder="1">
      <alignment vertical="center"/>
    </xf>
    <xf numFmtId="0" fontId="11" fillId="0" borderId="55" xfId="0" applyFont="1" applyBorder="1">
      <alignment vertical="center"/>
    </xf>
    <xf numFmtId="0" fontId="11" fillId="0" borderId="8" xfId="0" applyFont="1" applyBorder="1" applyAlignment="1">
      <alignment horizontal="center" vertical="center"/>
    </xf>
    <xf numFmtId="0" fontId="11" fillId="5" borderId="56" xfId="0" applyFont="1" applyFill="1" applyBorder="1" applyAlignment="1">
      <alignment horizontal="center" vertical="center"/>
    </xf>
    <xf numFmtId="0" fontId="11" fillId="0" borderId="6" xfId="0" applyFont="1" applyBorder="1" applyAlignment="1">
      <alignment horizontal="left" vertical="center"/>
    </xf>
    <xf numFmtId="0" fontId="11" fillId="0" borderId="57" xfId="0" applyFont="1" applyBorder="1" applyAlignment="1">
      <alignment horizontal="center" vertical="center"/>
    </xf>
    <xf numFmtId="0" fontId="11" fillId="0" borderId="54" xfId="0" applyFont="1" applyBorder="1" applyAlignment="1">
      <alignment horizontal="center" vertical="center"/>
    </xf>
    <xf numFmtId="0" fontId="11" fillId="0" borderId="38" xfId="0" applyFont="1" applyBorder="1" applyAlignment="1">
      <alignment horizontal="center" vertical="center"/>
    </xf>
    <xf numFmtId="0" fontId="11" fillId="0" borderId="53" xfId="0" applyFont="1" applyBorder="1" applyAlignment="1">
      <alignment horizontal="left" vertical="center"/>
    </xf>
    <xf numFmtId="0" fontId="11" fillId="0" borderId="53" xfId="0" applyFont="1" applyBorder="1" applyAlignment="1">
      <alignment horizontal="center" vertical="center"/>
    </xf>
    <xf numFmtId="0" fontId="11" fillId="5" borderId="58" xfId="0" applyFont="1" applyFill="1" applyBorder="1" applyAlignment="1">
      <alignment horizontal="center" vertical="center"/>
    </xf>
    <xf numFmtId="0" fontId="11" fillId="0" borderId="3" xfId="0" applyFont="1" applyBorder="1" applyAlignment="1">
      <alignment horizontal="left" vertical="center"/>
    </xf>
    <xf numFmtId="0" fontId="0" fillId="0" borderId="3" xfId="0" applyBorder="1">
      <alignment vertical="center"/>
    </xf>
    <xf numFmtId="0" fontId="0" fillId="0" borderId="41" xfId="0" applyBorder="1">
      <alignment vertical="center"/>
    </xf>
    <xf numFmtId="0" fontId="0" fillId="0" borderId="11" xfId="0" applyBorder="1">
      <alignment vertical="center"/>
    </xf>
    <xf numFmtId="0" fontId="11" fillId="0" borderId="1" xfId="0" applyFont="1" applyBorder="1" applyAlignment="1">
      <alignment vertical="center" wrapText="1"/>
    </xf>
    <xf numFmtId="0" fontId="11" fillId="0" borderId="1" xfId="0" applyFont="1" applyFill="1" applyBorder="1">
      <alignment vertical="center"/>
    </xf>
    <xf numFmtId="0" fontId="11" fillId="0" borderId="41" xfId="0" applyFont="1" applyBorder="1">
      <alignment vertical="center"/>
    </xf>
    <xf numFmtId="0" fontId="11" fillId="0" borderId="11" xfId="0" applyFont="1" applyBorder="1" applyAlignment="1">
      <alignment horizontal="center" vertical="center"/>
    </xf>
    <xf numFmtId="0" fontId="11" fillId="0" borderId="10" xfId="0" applyFont="1" applyBorder="1" applyAlignment="1">
      <alignment horizontal="left"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20" fillId="0" borderId="0" xfId="0" applyFont="1">
      <alignment vertical="center"/>
    </xf>
    <xf numFmtId="0" fontId="11" fillId="0" borderId="2" xfId="0" applyFont="1" applyBorder="1" applyAlignment="1">
      <alignment horizontal="left" vertical="center"/>
    </xf>
    <xf numFmtId="0" fontId="11" fillId="0" borderId="13" xfId="0" applyFont="1" applyBorder="1" applyAlignment="1">
      <alignment horizontal="left" vertical="center"/>
    </xf>
    <xf numFmtId="0" fontId="11" fillId="0" borderId="4" xfId="0" applyFont="1" applyBorder="1" applyAlignment="1">
      <alignment horizontal="left" vertical="center"/>
    </xf>
    <xf numFmtId="0" fontId="11" fillId="0" borderId="16" xfId="0" applyFont="1" applyBorder="1" applyAlignment="1">
      <alignment horizontal="left" vertical="center"/>
    </xf>
    <xf numFmtId="0" fontId="11" fillId="5" borderId="59" xfId="0" applyFont="1" applyFill="1" applyBorder="1" applyAlignment="1">
      <alignment horizontal="center" vertical="center"/>
    </xf>
    <xf numFmtId="0" fontId="11" fillId="0" borderId="20" xfId="0" applyFont="1" applyBorder="1" applyAlignment="1">
      <alignment horizontal="left" vertical="center"/>
    </xf>
    <xf numFmtId="0" fontId="11" fillId="0" borderId="60" xfId="0" applyFont="1" applyBorder="1">
      <alignment vertical="center"/>
    </xf>
    <xf numFmtId="0" fontId="0" fillId="0" borderId="20" xfId="0" applyBorder="1">
      <alignment vertical="center"/>
    </xf>
    <xf numFmtId="0" fontId="0" fillId="0" borderId="60" xfId="0" applyBorder="1">
      <alignment vertical="center"/>
    </xf>
    <xf numFmtId="0" fontId="0" fillId="0" borderId="21" xfId="0" applyBorder="1">
      <alignment vertical="center"/>
    </xf>
    <xf numFmtId="0" fontId="11" fillId="0" borderId="34" xfId="0" applyFont="1" applyBorder="1" applyAlignment="1">
      <alignment horizontal="center" vertical="center"/>
    </xf>
    <xf numFmtId="0" fontId="0" fillId="0" borderId="60" xfId="0" applyFill="1" applyBorder="1">
      <alignment vertical="center"/>
    </xf>
    <xf numFmtId="0" fontId="0" fillId="0" borderId="34" xfId="0" applyFill="1" applyBorder="1">
      <alignment vertical="center"/>
    </xf>
    <xf numFmtId="0" fontId="11" fillId="0" borderId="34" xfId="0" applyFont="1" applyFill="1" applyBorder="1">
      <alignment vertical="center"/>
    </xf>
    <xf numFmtId="0" fontId="11" fillId="0" borderId="34" xfId="0" applyFont="1" applyBorder="1" applyAlignment="1">
      <alignment horizontal="left" vertical="center"/>
    </xf>
    <xf numFmtId="0" fontId="11" fillId="0" borderId="60" xfId="0" applyFont="1" applyBorder="1" applyAlignment="1">
      <alignment horizontal="center" vertical="center"/>
    </xf>
    <xf numFmtId="0" fontId="11" fillId="0" borderId="61" xfId="0" applyFont="1" applyBorder="1">
      <alignment vertical="center"/>
    </xf>
    <xf numFmtId="0" fontId="11" fillId="0" borderId="21" xfId="0" applyFont="1" applyBorder="1" applyAlignment="1">
      <alignment horizontal="center" vertical="center"/>
    </xf>
    <xf numFmtId="0" fontId="11" fillId="5" borderId="62" xfId="0" applyFont="1" applyFill="1" applyBorder="1" applyAlignment="1">
      <alignment horizontal="center" vertical="center"/>
    </xf>
    <xf numFmtId="0" fontId="11" fillId="0" borderId="19" xfId="0" applyFont="1" applyBorder="1" applyAlignment="1">
      <alignment horizontal="left" vertical="center"/>
    </xf>
    <xf numFmtId="0" fontId="21" fillId="0" borderId="0" xfId="0" applyFont="1">
      <alignment vertical="center"/>
    </xf>
    <xf numFmtId="0" fontId="5" fillId="0" borderId="0" xfId="0" applyFont="1">
      <alignment vertical="center"/>
    </xf>
    <xf numFmtId="0" fontId="10" fillId="0" borderId="1" xfId="0" applyFont="1" applyBorder="1">
      <alignment vertical="center"/>
    </xf>
    <xf numFmtId="0" fontId="0" fillId="5" borderId="1" xfId="0" applyFill="1" applyBorder="1" applyAlignment="1">
      <alignment horizontal="right" vertical="center"/>
    </xf>
    <xf numFmtId="0" fontId="0" fillId="0" borderId="1" xfId="0" applyFont="1" applyFill="1" applyBorder="1" applyAlignment="1">
      <alignment horizontal="right" vertical="center"/>
    </xf>
    <xf numFmtId="0" fontId="0" fillId="3" borderId="1" xfId="0" applyFont="1" applyFill="1" applyBorder="1" applyAlignment="1">
      <alignment horizontal="center" vertical="center"/>
    </xf>
    <xf numFmtId="0" fontId="22" fillId="0" borderId="0" xfId="1">
      <alignment vertical="center"/>
    </xf>
    <xf numFmtId="0" fontId="0" fillId="0" borderId="2" xfId="0" applyFont="1" applyFill="1" applyBorder="1" applyAlignment="1">
      <alignment horizontal="left" vertical="center"/>
    </xf>
    <xf numFmtId="0" fontId="0" fillId="0" borderId="0" xfId="0" applyFont="1" applyFill="1" applyAlignment="1">
      <alignment horizontal="left" vertical="center"/>
    </xf>
    <xf numFmtId="0" fontId="0" fillId="3" borderId="0" xfId="0" applyFill="1">
      <alignment vertical="center"/>
    </xf>
    <xf numFmtId="0" fontId="0" fillId="0" borderId="4" xfId="0" applyFont="1" applyFill="1" applyBorder="1" applyAlignment="1">
      <alignment horizontal="left" vertical="center"/>
    </xf>
    <xf numFmtId="0" fontId="0" fillId="0" borderId="3" xfId="0" applyBorder="1" applyAlignment="1">
      <alignment horizontal="left" vertical="center"/>
    </xf>
    <xf numFmtId="0" fontId="10" fillId="3" borderId="0" xfId="0" applyFont="1" applyFill="1">
      <alignment vertical="center"/>
    </xf>
    <xf numFmtId="0" fontId="0" fillId="3" borderId="2" xfId="0" applyFont="1" applyFill="1" applyBorder="1" applyAlignment="1">
      <alignment horizontal="center" vertical="center"/>
    </xf>
    <xf numFmtId="0" fontId="0" fillId="0" borderId="2" xfId="0" applyFont="1" applyFill="1" applyBorder="1" applyAlignment="1">
      <alignment vertical="center"/>
    </xf>
    <xf numFmtId="0" fontId="0" fillId="3" borderId="4" xfId="0" applyFont="1" applyFill="1" applyBorder="1" applyAlignment="1">
      <alignment horizontal="center" vertical="center"/>
    </xf>
    <xf numFmtId="0" fontId="0" fillId="0" borderId="4" xfId="0" applyFont="1" applyFill="1" applyBorder="1" applyAlignment="1">
      <alignment vertical="center"/>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shrinkToFit="1"/>
    </xf>
    <xf numFmtId="55" fontId="0" fillId="0" borderId="1" xfId="0" applyNumberFormat="1" applyBorder="1">
      <alignment vertical="center"/>
    </xf>
    <xf numFmtId="0" fontId="14" fillId="0" borderId="0" xfId="0" applyFont="1">
      <alignment vertical="center"/>
    </xf>
    <xf numFmtId="0" fontId="11" fillId="8" borderId="63" xfId="0" applyFont="1" applyFill="1" applyBorder="1" applyAlignment="1">
      <alignment horizontal="center" vertical="center" wrapText="1"/>
    </xf>
    <xf numFmtId="0" fontId="11" fillId="8" borderId="64" xfId="0" applyFont="1" applyFill="1" applyBorder="1" applyAlignment="1">
      <alignment horizontal="center" vertical="center" wrapText="1"/>
    </xf>
    <xf numFmtId="0" fontId="0" fillId="0" borderId="64" xfId="0" applyBorder="1" applyAlignment="1">
      <alignment horizontal="center" vertical="center" wrapText="1"/>
    </xf>
    <xf numFmtId="0" fontId="0" fillId="0" borderId="0" xfId="0" applyAlignment="1">
      <alignment horizontal="center" vertical="center" wrapText="1"/>
    </xf>
    <xf numFmtId="0" fontId="13" fillId="0" borderId="65" xfId="0" applyFont="1" applyBorder="1">
      <alignment vertical="center"/>
    </xf>
    <xf numFmtId="0" fontId="13" fillId="0" borderId="66" xfId="0" applyFont="1" applyBorder="1">
      <alignment vertical="center"/>
    </xf>
    <xf numFmtId="0" fontId="11" fillId="8" borderId="67" xfId="0" applyFont="1" applyFill="1" applyBorder="1" applyAlignment="1">
      <alignment horizontal="center" vertical="center" wrapText="1"/>
    </xf>
    <xf numFmtId="0" fontId="23" fillId="0" borderId="0" xfId="0" applyFont="1" applyFill="1" applyAlignment="1">
      <alignment horizontal="left" vertical="center"/>
    </xf>
    <xf numFmtId="0" fontId="24" fillId="0" borderId="68" xfId="0" applyFont="1" applyFill="1" applyBorder="1" applyAlignment="1">
      <alignment horizontal="center" vertical="center" textRotation="255" wrapText="1"/>
    </xf>
    <xf numFmtId="0" fontId="25" fillId="0" borderId="69" xfId="0" applyFont="1" applyFill="1" applyBorder="1">
      <alignment vertical="center"/>
    </xf>
    <xf numFmtId="0" fontId="24" fillId="0" borderId="64" xfId="0" applyFont="1" applyFill="1" applyBorder="1" applyAlignment="1">
      <alignment horizontal="center" vertical="center" wrapText="1"/>
    </xf>
    <xf numFmtId="0" fontId="0" fillId="0" borderId="64" xfId="0" applyBorder="1" applyAlignment="1">
      <alignment horizontal="left" vertical="center" wrapText="1"/>
    </xf>
    <xf numFmtId="0" fontId="24" fillId="0" borderId="68"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64" xfId="0" applyFont="1" applyFill="1" applyBorder="1" applyAlignment="1">
      <alignment horizontal="left" vertical="center" wrapText="1"/>
    </xf>
    <xf numFmtId="0" fontId="11" fillId="8" borderId="68" xfId="0" applyFont="1" applyFill="1" applyBorder="1" applyAlignment="1">
      <alignment horizontal="center" vertical="center" wrapText="1"/>
    </xf>
    <xf numFmtId="0" fontId="13" fillId="0" borderId="69" xfId="0" applyFont="1" applyBorder="1">
      <alignment vertical="center"/>
    </xf>
    <xf numFmtId="0" fontId="17" fillId="8" borderId="64" xfId="0" applyFont="1" applyFill="1" applyBorder="1" applyAlignment="1">
      <alignment horizontal="center" vertical="center" wrapText="1"/>
    </xf>
    <xf numFmtId="0" fontId="0" fillId="0" borderId="68" xfId="0" applyBorder="1" applyAlignment="1">
      <alignment horizontal="center" vertical="center" wrapText="1"/>
    </xf>
    <xf numFmtId="0" fontId="17" fillId="8" borderId="67" xfId="0" applyFont="1" applyFill="1" applyBorder="1" applyAlignment="1">
      <alignment horizontal="center" vertical="center" wrapText="1"/>
    </xf>
    <xf numFmtId="0" fontId="0" fillId="0" borderId="68" xfId="0" applyBorder="1" applyAlignment="1">
      <alignment horizontal="left" vertical="center" wrapText="1"/>
    </xf>
    <xf numFmtId="0" fontId="13" fillId="0" borderId="0" xfId="0" applyFont="1">
      <alignment vertical="center"/>
    </xf>
    <xf numFmtId="0" fontId="13" fillId="5" borderId="1" xfId="0" applyFont="1" applyFill="1" applyBorder="1" applyAlignment="1">
      <alignment horizontal="center" vertical="center"/>
    </xf>
    <xf numFmtId="0" fontId="14" fillId="0" borderId="1" xfId="0" applyFont="1" applyBorder="1">
      <alignment vertical="center"/>
    </xf>
    <xf numFmtId="0" fontId="14" fillId="0" borderId="1" xfId="0" applyFont="1" applyBorder="1" applyAlignment="1">
      <alignment vertical="center" wrapText="1"/>
    </xf>
    <xf numFmtId="0" fontId="13" fillId="0" borderId="2" xfId="0" applyFont="1" applyBorder="1" applyAlignment="1">
      <alignment horizontal="left" vertical="top" wrapText="1"/>
    </xf>
    <xf numFmtId="0" fontId="13" fillId="0" borderId="41" xfId="0" applyFont="1" applyFill="1" applyBorder="1" applyAlignment="1">
      <alignment vertical="top"/>
    </xf>
    <xf numFmtId="0" fontId="14" fillId="3" borderId="0" xfId="0" applyFont="1" applyFill="1">
      <alignment vertical="center"/>
    </xf>
    <xf numFmtId="0" fontId="13" fillId="0" borderId="3" xfId="0" applyFont="1" applyBorder="1" applyAlignment="1">
      <alignment horizontal="left" vertical="top" wrapText="1"/>
    </xf>
    <xf numFmtId="0" fontId="14" fillId="0" borderId="41" xfId="0" applyFont="1" applyFill="1" applyBorder="1" applyAlignment="1">
      <alignment vertical="top"/>
    </xf>
    <xf numFmtId="0" fontId="13" fillId="0" borderId="4" xfId="0" applyFont="1" applyBorder="1" applyAlignment="1">
      <alignment horizontal="left" vertical="top" wrapText="1"/>
    </xf>
    <xf numFmtId="0" fontId="13" fillId="0" borderId="1" xfId="0" applyFont="1" applyBorder="1" applyAlignment="1">
      <alignment vertical="top"/>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0" fontId="0" fillId="9" borderId="50" xfId="0" applyFill="1" applyBorder="1" applyAlignment="1">
      <alignment horizontal="center" vertical="center"/>
    </xf>
    <xf numFmtId="0" fontId="0" fillId="9" borderId="37" xfId="0" applyFill="1" applyBorder="1" applyAlignment="1">
      <alignment horizontal="center" vertical="center"/>
    </xf>
    <xf numFmtId="0" fontId="0" fillId="9" borderId="2" xfId="0" applyFill="1" applyBorder="1" applyAlignment="1">
      <alignment horizontal="center" vertical="center"/>
    </xf>
    <xf numFmtId="0" fontId="0" fillId="0" borderId="2" xfId="0" applyBorder="1" applyAlignment="1">
      <alignment horizontal="right" vertical="center"/>
    </xf>
    <xf numFmtId="0" fontId="0" fillId="0" borderId="0" xfId="0" applyAlignment="1">
      <alignment horizontal="right" vertical="center"/>
    </xf>
    <xf numFmtId="0" fontId="0" fillId="9" borderId="3" xfId="0" applyFill="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9" borderId="4" xfId="0"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6" fillId="0" borderId="0" xfId="0" applyFont="1">
      <alignment vertical="center"/>
    </xf>
    <xf numFmtId="0" fontId="18" fillId="0" borderId="11" xfId="0" applyFont="1" applyBorder="1" applyAlignment="1">
      <alignment horizontal="center" vertical="center"/>
    </xf>
    <xf numFmtId="0" fontId="27" fillId="9" borderId="26" xfId="0" applyFont="1" applyFill="1" applyBorder="1" applyAlignment="1">
      <alignment horizontal="center" vertical="center" wrapText="1"/>
    </xf>
    <xf numFmtId="0" fontId="27" fillId="9" borderId="27" xfId="0" applyFont="1" applyFill="1" applyBorder="1" applyAlignment="1">
      <alignment vertical="center" wrapText="1"/>
    </xf>
    <xf numFmtId="0" fontId="27" fillId="9" borderId="27" xfId="0" applyFont="1" applyFill="1" applyBorder="1" applyAlignment="1">
      <alignment vertical="top" wrapText="1"/>
    </xf>
    <xf numFmtId="0" fontId="27" fillId="9" borderId="27" xfId="0" applyFont="1" applyFill="1" applyBorder="1" applyAlignment="1">
      <alignment horizontal="left" vertical="top" wrapText="1"/>
    </xf>
    <xf numFmtId="0" fontId="27" fillId="9" borderId="2" xfId="0" applyFont="1" applyFill="1" applyBorder="1" applyAlignment="1">
      <alignment vertical="center" wrapText="1"/>
    </xf>
    <xf numFmtId="0" fontId="27" fillId="9" borderId="7" xfId="0" applyFont="1" applyFill="1" applyBorder="1" applyAlignment="1">
      <alignment vertical="center" wrapText="1"/>
    </xf>
    <xf numFmtId="0" fontId="27" fillId="9" borderId="57" xfId="0" applyFont="1" applyFill="1" applyBorder="1" applyAlignment="1">
      <alignment vertical="center" wrapText="1"/>
    </xf>
    <xf numFmtId="0" fontId="27" fillId="9" borderId="70" xfId="0" applyFont="1" applyFill="1" applyBorder="1" applyAlignment="1">
      <alignment vertical="center" wrapText="1"/>
    </xf>
    <xf numFmtId="0" fontId="28" fillId="0" borderId="0" xfId="0" applyFont="1" applyAlignment="1">
      <alignment horizontal="left" vertical="center"/>
    </xf>
    <xf numFmtId="0" fontId="22" fillId="0" borderId="0" xfId="1" applyAlignment="1">
      <alignment horizontal="left" vertical="center"/>
    </xf>
    <xf numFmtId="0" fontId="27" fillId="9" borderId="29" xfId="0" applyFont="1" applyFill="1" applyBorder="1" applyAlignment="1">
      <alignment horizontal="center" vertical="center" wrapText="1"/>
    </xf>
    <xf numFmtId="0" fontId="29" fillId="0" borderId="1" xfId="0" applyFont="1" applyBorder="1" applyAlignment="1">
      <alignment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1" xfId="0" applyFont="1" applyBorder="1" applyAlignment="1">
      <alignment vertical="top" wrapText="1"/>
    </xf>
    <xf numFmtId="0" fontId="30" fillId="0" borderId="1" xfId="0" applyFont="1" applyBorder="1" applyAlignment="1">
      <alignment vertical="top" wrapText="1"/>
    </xf>
    <xf numFmtId="0" fontId="29" fillId="0" borderId="50" xfId="0" applyFont="1" applyBorder="1" applyAlignment="1">
      <alignment vertical="center" wrapText="1"/>
    </xf>
    <xf numFmtId="0" fontId="29" fillId="0" borderId="71" xfId="0" applyFont="1" applyBorder="1" applyAlignment="1">
      <alignment vertical="center" wrapText="1"/>
    </xf>
    <xf numFmtId="0" fontId="29" fillId="0" borderId="0" xfId="0" applyFont="1">
      <alignment vertical="center"/>
    </xf>
    <xf numFmtId="0" fontId="31" fillId="0" borderId="0" xfId="0" applyFont="1" applyAlignment="1">
      <alignment horizontal="left" vertical="center"/>
    </xf>
    <xf numFmtId="0" fontId="21" fillId="0" borderId="0" xfId="0" applyFont="1" applyBorder="1" applyAlignment="1">
      <alignment horizontal="left" vertical="center"/>
    </xf>
    <xf numFmtId="0" fontId="27" fillId="9" borderId="31" xfId="0" applyFont="1" applyFill="1" applyBorder="1" applyAlignment="1">
      <alignment horizontal="center" vertical="center" wrapText="1"/>
    </xf>
    <xf numFmtId="0" fontId="29" fillId="0" borderId="47" xfId="0" applyFont="1" applyBorder="1" applyAlignment="1">
      <alignment vertical="center" wrapText="1"/>
    </xf>
    <xf numFmtId="0" fontId="29" fillId="0" borderId="13" xfId="0" applyFont="1" applyBorder="1" applyAlignment="1">
      <alignment vertical="center" wrapText="1"/>
    </xf>
    <xf numFmtId="0" fontId="29" fillId="0" borderId="47"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3" xfId="0" applyFont="1" applyBorder="1" applyAlignment="1">
      <alignment vertical="center" wrapText="1"/>
    </xf>
    <xf numFmtId="0" fontId="30" fillId="0" borderId="2" xfId="0" applyFont="1" applyBorder="1" applyAlignment="1">
      <alignment vertical="top" wrapText="1"/>
    </xf>
    <xf numFmtId="0" fontId="29" fillId="0" borderId="46" xfId="0" applyFont="1" applyBorder="1" applyAlignment="1">
      <alignment vertical="center" wrapText="1"/>
    </xf>
    <xf numFmtId="0" fontId="29" fillId="0" borderId="12" xfId="0" applyFont="1" applyBorder="1" applyAlignment="1">
      <alignment vertical="center" wrapText="1"/>
    </xf>
    <xf numFmtId="0" fontId="0" fillId="0" borderId="60" xfId="0" applyBorder="1" applyAlignment="1">
      <alignment horizontal="left" vertical="center"/>
    </xf>
    <xf numFmtId="0" fontId="27" fillId="9" borderId="22" xfId="0" applyFont="1" applyFill="1" applyBorder="1" applyAlignment="1">
      <alignment horizontal="center" vertical="center" wrapText="1"/>
    </xf>
    <xf numFmtId="0" fontId="29" fillId="10" borderId="23" xfId="0" applyFont="1" applyFill="1" applyBorder="1" applyAlignment="1">
      <alignment vertical="center" wrapText="1"/>
    </xf>
    <xf numFmtId="0" fontId="29" fillId="10" borderId="72" xfId="0" applyFont="1" applyFill="1" applyBorder="1" applyAlignment="1">
      <alignment vertical="center" wrapText="1"/>
    </xf>
    <xf numFmtId="0" fontId="0" fillId="10" borderId="24" xfId="0" applyFill="1" applyBorder="1">
      <alignment vertical="center"/>
    </xf>
    <xf numFmtId="0" fontId="0" fillId="10" borderId="73" xfId="0" applyFill="1" applyBorder="1">
      <alignment vertical="center"/>
    </xf>
    <xf numFmtId="0" fontId="30" fillId="10" borderId="23" xfId="0" applyFont="1" applyFill="1" applyBorder="1" applyAlignment="1">
      <alignment vertical="top" wrapText="1"/>
    </xf>
    <xf numFmtId="0" fontId="29" fillId="10" borderId="72" xfId="0" applyFont="1" applyFill="1" applyBorder="1" applyAlignment="1">
      <alignment horizontal="center" vertical="center" wrapText="1"/>
    </xf>
    <xf numFmtId="0" fontId="29" fillId="10" borderId="73" xfId="0" applyFont="1" applyFill="1" applyBorder="1" applyAlignment="1">
      <alignment horizontal="center" vertical="center" wrapText="1"/>
    </xf>
    <xf numFmtId="0" fontId="30" fillId="10" borderId="74" xfId="0" applyFont="1" applyFill="1" applyBorder="1" applyAlignment="1">
      <alignment vertical="center" wrapText="1"/>
    </xf>
    <xf numFmtId="0" fontId="10" fillId="9" borderId="5" xfId="0" applyFont="1" applyFill="1" applyBorder="1" applyAlignment="1">
      <alignment horizontal="left" vertical="center"/>
    </xf>
    <xf numFmtId="0" fontId="27" fillId="9" borderId="48" xfId="0" applyFont="1" applyFill="1" applyBorder="1" applyAlignment="1">
      <alignment horizontal="center" vertical="center" wrapText="1"/>
    </xf>
    <xf numFmtId="0" fontId="29" fillId="0" borderId="44" xfId="0" applyFont="1" applyBorder="1" applyAlignment="1">
      <alignment vertical="center" wrapText="1"/>
    </xf>
    <xf numFmtId="0" fontId="29" fillId="0" borderId="16" xfId="0" applyFont="1" applyBorder="1" applyAlignment="1">
      <alignment vertical="center" wrapText="1"/>
    </xf>
    <xf numFmtId="0" fontId="29" fillId="0" borderId="43" xfId="0" applyFont="1" applyBorder="1" applyAlignment="1">
      <alignment vertical="center" wrapText="1"/>
    </xf>
    <xf numFmtId="0" fontId="30" fillId="0" borderId="44" xfId="0" applyFont="1" applyBorder="1" applyAlignment="1">
      <alignment vertical="center" wrapText="1"/>
    </xf>
    <xf numFmtId="0" fontId="30" fillId="0" borderId="43" xfId="0" applyFont="1" applyBorder="1" applyAlignment="1">
      <alignment vertical="center" wrapText="1"/>
    </xf>
    <xf numFmtId="0" fontId="29" fillId="0" borderId="4" xfId="0" applyFont="1" applyBorder="1" applyAlignment="1">
      <alignment vertical="center" wrapText="1"/>
    </xf>
    <xf numFmtId="0" fontId="29" fillId="0" borderId="0" xfId="0" applyFont="1" applyAlignment="1">
      <alignment vertical="center" wrapText="1"/>
    </xf>
    <xf numFmtId="0" fontId="30" fillId="0" borderId="4" xfId="0" applyFont="1" applyBorder="1" applyAlignment="1">
      <alignment vertical="top" wrapText="1"/>
    </xf>
    <xf numFmtId="0" fontId="29" fillId="0" borderId="44" xfId="0" applyFont="1" applyBorder="1" applyAlignment="1">
      <alignment horizontal="center" vertical="center" wrapText="1"/>
    </xf>
    <xf numFmtId="0" fontId="29" fillId="0" borderId="43" xfId="0" applyFont="1" applyBorder="1" applyAlignment="1">
      <alignment horizontal="center" vertical="center" wrapText="1"/>
    </xf>
    <xf numFmtId="0" fontId="30" fillId="0" borderId="15" xfId="0" applyFont="1" applyBorder="1" applyAlignment="1">
      <alignment vertical="center" wrapText="1"/>
    </xf>
    <xf numFmtId="0" fontId="10" fillId="9" borderId="9" xfId="0" applyFont="1" applyFill="1" applyBorder="1" applyAlignment="1">
      <alignment horizontal="left" vertical="center"/>
    </xf>
    <xf numFmtId="0" fontId="29" fillId="0" borderId="51" xfId="0" applyFont="1" applyBorder="1" applyAlignment="1">
      <alignment vertical="center" wrapText="1"/>
    </xf>
    <xf numFmtId="0" fontId="30" fillId="0" borderId="37" xfId="0" applyFont="1" applyBorder="1" applyAlignment="1">
      <alignment vertical="center" wrapText="1"/>
    </xf>
    <xf numFmtId="0" fontId="29" fillId="0" borderId="16" xfId="0" applyFont="1" applyBorder="1" applyAlignment="1">
      <alignment horizontal="center" vertical="center" wrapText="1"/>
    </xf>
    <xf numFmtId="0" fontId="30" fillId="0" borderId="1" xfId="0" applyFont="1" applyBorder="1" applyAlignment="1">
      <alignment vertical="center" wrapText="1"/>
    </xf>
    <xf numFmtId="0" fontId="30" fillId="0" borderId="50" xfId="0" applyFont="1" applyBorder="1" applyAlignment="1">
      <alignment vertical="center" wrapText="1"/>
    </xf>
    <xf numFmtId="0" fontId="30" fillId="0" borderId="71" xfId="0" applyFont="1" applyBorder="1" applyAlignment="1">
      <alignment vertical="center" wrapText="1"/>
    </xf>
    <xf numFmtId="0" fontId="30" fillId="0" borderId="51" xfId="0" applyFont="1" applyBorder="1" applyAlignment="1">
      <alignment vertical="center" wrapText="1"/>
    </xf>
    <xf numFmtId="0" fontId="30" fillId="0" borderId="37" xfId="0" applyFont="1" applyBorder="1" applyAlignment="1">
      <alignment vertical="top" wrapText="1"/>
    </xf>
    <xf numFmtId="0" fontId="30" fillId="0" borderId="1" xfId="0" applyFont="1" applyBorder="1" applyAlignment="1">
      <alignment horizontal="left" vertical="top" wrapText="1"/>
    </xf>
    <xf numFmtId="0" fontId="32" fillId="0" borderId="47" xfId="0" applyFont="1" applyBorder="1" applyAlignment="1">
      <alignment horizontal="left" vertical="top" wrapText="1"/>
    </xf>
    <xf numFmtId="0" fontId="33" fillId="0" borderId="46" xfId="0" applyFont="1" applyBorder="1" applyAlignment="1">
      <alignment horizontal="left" vertical="top" wrapText="1"/>
    </xf>
    <xf numFmtId="0" fontId="33" fillId="0" borderId="14" xfId="0" applyFont="1" applyBorder="1" applyAlignment="1">
      <alignment horizontal="left" vertical="top" wrapText="1"/>
    </xf>
    <xf numFmtId="0" fontId="33" fillId="0" borderId="41" xfId="0" applyFont="1" applyBorder="1" applyAlignment="1">
      <alignment horizontal="left" vertical="top" wrapText="1"/>
    </xf>
    <xf numFmtId="0" fontId="33" fillId="0" borderId="0" xfId="0" applyFont="1" applyAlignment="1">
      <alignment horizontal="left" vertical="top" wrapText="1"/>
    </xf>
    <xf numFmtId="0" fontId="33" fillId="0" borderId="11" xfId="0" applyFont="1" applyBorder="1" applyAlignment="1">
      <alignment horizontal="left" vertical="top" wrapText="1"/>
    </xf>
    <xf numFmtId="0" fontId="10" fillId="9" borderId="18" xfId="0" applyFont="1" applyFill="1" applyBorder="1" applyAlignment="1">
      <alignment horizontal="left" vertical="center"/>
    </xf>
    <xf numFmtId="0" fontId="27" fillId="9" borderId="33" xfId="0" applyFont="1" applyFill="1" applyBorder="1" applyAlignment="1">
      <alignment horizontal="center" vertical="center" wrapText="1"/>
    </xf>
    <xf numFmtId="0" fontId="30" fillId="0" borderId="34" xfId="0" applyFont="1" applyBorder="1" applyAlignment="1">
      <alignment vertical="center" wrapText="1"/>
    </xf>
    <xf numFmtId="0" fontId="33" fillId="0" borderId="61" xfId="0" applyFont="1" applyBorder="1" applyAlignment="1">
      <alignment horizontal="left" vertical="top" wrapText="1"/>
    </xf>
    <xf numFmtId="0" fontId="33" fillId="0" borderId="60" xfId="0" applyFont="1" applyBorder="1" applyAlignment="1">
      <alignment horizontal="left" vertical="top" wrapText="1"/>
    </xf>
    <xf numFmtId="0" fontId="33" fillId="0" borderId="21" xfId="0" applyFont="1" applyBorder="1" applyAlignment="1">
      <alignment horizontal="left" vertical="top" wrapText="1"/>
    </xf>
    <xf numFmtId="0" fontId="30" fillId="0" borderId="75" xfId="0" applyFont="1" applyBorder="1" applyAlignment="1">
      <alignment vertical="center" wrapText="1"/>
    </xf>
    <xf numFmtId="0" fontId="10" fillId="0" borderId="53" xfId="0" applyFont="1" applyBorder="1">
      <alignment vertical="center"/>
    </xf>
    <xf numFmtId="0" fontId="34" fillId="0" borderId="0" xfId="0" applyFont="1" applyAlignment="1">
      <alignment horizontal="justify" vertical="center"/>
    </xf>
    <xf numFmtId="0" fontId="28"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0" applyFont="1" applyAlignment="1">
      <alignment horizontal="justify" vertical="center"/>
    </xf>
    <xf numFmtId="0" fontId="0" fillId="9" borderId="1" xfId="0" applyFill="1" applyBorder="1" applyAlignment="1">
      <alignment horizontal="left" vertical="center"/>
    </xf>
    <xf numFmtId="0" fontId="0" fillId="9" borderId="1" xfId="0" applyFill="1" applyBorder="1">
      <alignment vertical="center"/>
    </xf>
    <xf numFmtId="0" fontId="2" fillId="0" borderId="0" xfId="0" applyFont="1">
      <alignment vertical="center"/>
    </xf>
    <xf numFmtId="0" fontId="0" fillId="0" borderId="41" xfId="0" applyBorder="1" applyAlignment="1">
      <alignment horizontal="left" vertical="center" wrapText="1"/>
    </xf>
    <xf numFmtId="0" fontId="2" fillId="9" borderId="1" xfId="0" applyFont="1" applyFill="1" applyBorder="1" applyAlignment="1">
      <alignment horizontal="center" vertical="center" wrapText="1"/>
    </xf>
    <xf numFmtId="0" fontId="0" fillId="9" borderId="1" xfId="0" applyFill="1" applyBorder="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xf>
    <xf numFmtId="0" fontId="28" fillId="9" borderId="1" xfId="0" applyFont="1" applyFill="1" applyBorder="1">
      <alignment vertical="center"/>
    </xf>
    <xf numFmtId="0" fontId="2" fillId="0" borderId="0" xfId="0" applyFont="1" applyAlignment="1">
      <alignment horizontal="left" vertical="top"/>
    </xf>
    <xf numFmtId="0" fontId="0" fillId="0" borderId="0" xfId="0" applyAlignment="1">
      <alignment horizontal="left" vertical="top"/>
    </xf>
    <xf numFmtId="0" fontId="0" fillId="9" borderId="1" xfId="0" applyFill="1" applyBorder="1" applyAlignment="1">
      <alignment horizontal="center" vertical="center" textRotation="255"/>
    </xf>
    <xf numFmtId="0" fontId="0" fillId="0" borderId="0" xfId="0" applyAlignment="1">
      <alignment horizontal="left" vertical="center" wrapText="1"/>
    </xf>
    <xf numFmtId="0" fontId="0" fillId="9" borderId="26" xfId="0" applyFill="1" applyBorder="1" applyAlignment="1">
      <alignment horizontal="center" vertical="center"/>
    </xf>
    <xf numFmtId="0" fontId="0" fillId="0" borderId="27" xfId="0" applyBorder="1">
      <alignment vertical="center"/>
    </xf>
    <xf numFmtId="0" fontId="0" fillId="0" borderId="28" xfId="0" applyBorder="1">
      <alignment vertical="center"/>
    </xf>
    <xf numFmtId="0" fontId="0" fillId="9" borderId="29" xfId="0" applyFill="1" applyBorder="1" applyAlignment="1">
      <alignment horizontal="center" vertical="center"/>
    </xf>
    <xf numFmtId="0" fontId="0" fillId="0" borderId="30" xfId="0" applyBorder="1">
      <alignment vertical="center"/>
    </xf>
    <xf numFmtId="0" fontId="0" fillId="9" borderId="33" xfId="0" applyFill="1" applyBorder="1" applyAlignment="1">
      <alignment horizontal="center" vertical="center"/>
    </xf>
    <xf numFmtId="0" fontId="0" fillId="0" borderId="34" xfId="0" applyBorder="1">
      <alignment vertical="center"/>
    </xf>
    <xf numFmtId="0" fontId="0" fillId="0" borderId="35" xfId="0" applyBorder="1">
      <alignment vertical="center"/>
    </xf>
    <xf numFmtId="0" fontId="0" fillId="9" borderId="2" xfId="0" applyFill="1" applyBorder="1" applyAlignment="1">
      <alignment horizontal="left" vertical="center"/>
    </xf>
    <xf numFmtId="0" fontId="0" fillId="9" borderId="1" xfId="0" applyFill="1" applyBorder="1" applyAlignment="1">
      <alignment horizontal="left" vertical="center" wrapText="1"/>
    </xf>
    <xf numFmtId="0" fontId="22" fillId="0" borderId="0" xfId="1" applyFill="1" applyBorder="1">
      <alignment vertical="center"/>
    </xf>
    <xf numFmtId="0" fontId="0" fillId="9" borderId="3" xfId="0" applyFill="1" applyBorder="1" applyAlignment="1">
      <alignment horizontal="left" vertical="center"/>
    </xf>
    <xf numFmtId="0" fontId="0" fillId="9" borderId="4" xfId="0" applyFill="1" applyBorder="1" applyAlignment="1">
      <alignment horizontal="left" vertical="center"/>
    </xf>
  </cellXfs>
  <cellStyles count="2">
    <cellStyle name="標準" xfId="0" builtinId="0"/>
    <cellStyle name="ハイパーリンク" xfId="1" builtinId="8"/>
  </cellStyles>
  <tableStyles count="0" defaultTableStyle="TableStyleMedium2" defaultPivotStyle="PivotStyleLight16"/>
  <colors>
    <mruColors>
      <color rgb="FF99CCFF"/>
      <color rgb="FF3399FF"/>
      <color rgb="FF698EE1"/>
      <color rgb="FF557FDD"/>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theme" Target="theme/theme1.xml" /><Relationship Id="rId34" Type="http://schemas.openxmlformats.org/officeDocument/2006/relationships/sharedStrings" Target="sharedStrings.xml" /><Relationship Id="rId35" Type="http://schemas.openxmlformats.org/officeDocument/2006/relationships/styles" Target="styles.xml" /></Relationships>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9525</xdr:rowOff>
    </xdr:from>
    <xdr:to xmlns:xdr="http://schemas.openxmlformats.org/drawingml/2006/spreadsheetDrawing">
      <xdr:col>5</xdr:col>
      <xdr:colOff>219075</xdr:colOff>
      <xdr:row>5</xdr:row>
      <xdr:rowOff>0</xdr:rowOff>
    </xdr:to>
    <xdr:cxnSp macro="">
      <xdr:nvCxnSpPr>
        <xdr:cNvPr id="2" name="直線コネクタ 1"/>
        <xdr:cNvCxnSpPr/>
      </xdr:nvCxnSpPr>
      <xdr:spPr>
        <a:xfrm flipH="1" flipV="1">
          <a:off x="0" y="495300"/>
          <a:ext cx="1409700" cy="714375"/>
        </a:xfrm>
        <a:prstGeom prst="straightConnector1">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209550</xdr:colOff>
      <xdr:row>2</xdr:row>
      <xdr:rowOff>9525</xdr:rowOff>
    </xdr:from>
    <xdr:to xmlns:xdr="http://schemas.openxmlformats.org/drawingml/2006/spreadsheetDrawing">
      <xdr:col>6</xdr:col>
      <xdr:colOff>95250</xdr:colOff>
      <xdr:row>3</xdr:row>
      <xdr:rowOff>104775</xdr:rowOff>
    </xdr:to>
    <xdr:sp macro="" textlink="">
      <xdr:nvSpPr>
        <xdr:cNvPr id="3" name="テキスト ボックス 2"/>
        <xdr:cNvSpPr txBox="1"/>
      </xdr:nvSpPr>
      <xdr:spPr>
        <a:xfrm>
          <a:off x="685800" y="495300"/>
          <a:ext cx="838200" cy="3333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評価項目</a:t>
          </a:r>
          <a:endParaRPr kumimoji="1" lang="ja-JP" altLang="en-US" sz="1100" b="1"/>
        </a:p>
      </xdr:txBody>
    </xdr:sp>
    <xdr:clientData/>
  </xdr:twoCellAnchor>
  <xdr:twoCellAnchor>
    <xdr:from xmlns:xdr="http://schemas.openxmlformats.org/drawingml/2006/spreadsheetDrawing">
      <xdr:col>0</xdr:col>
      <xdr:colOff>133350</xdr:colOff>
      <xdr:row>3</xdr:row>
      <xdr:rowOff>47625</xdr:rowOff>
    </xdr:from>
    <xdr:to xmlns:xdr="http://schemas.openxmlformats.org/drawingml/2006/spreadsheetDrawing">
      <xdr:col>4</xdr:col>
      <xdr:colOff>190500</xdr:colOff>
      <xdr:row>4</xdr:row>
      <xdr:rowOff>104775</xdr:rowOff>
    </xdr:to>
    <xdr:sp macro="" textlink="">
      <xdr:nvSpPr>
        <xdr:cNvPr id="4" name="テキスト ボックス 3"/>
        <xdr:cNvSpPr txBox="1"/>
      </xdr:nvSpPr>
      <xdr:spPr>
        <a:xfrm>
          <a:off x="133350" y="771525"/>
          <a:ext cx="1009650" cy="295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業務名</a:t>
          </a:r>
          <a:endParaRPr kumimoji="1" lang="en-US" altLang="ja-JP" sz="1100" b="1"/>
        </a:p>
      </xdr:txBody>
    </xdr:sp>
    <xdr:clientData/>
  </xdr:twoCellAnchor>
  <xdr:twoCellAnchor>
    <xdr:from xmlns:xdr="http://schemas.openxmlformats.org/drawingml/2006/spreadsheetDrawing">
      <xdr:col>0</xdr:col>
      <xdr:colOff>0</xdr:colOff>
      <xdr:row>18</xdr:row>
      <xdr:rowOff>0</xdr:rowOff>
    </xdr:from>
    <xdr:to xmlns:xdr="http://schemas.openxmlformats.org/drawingml/2006/spreadsheetDrawing">
      <xdr:col>5</xdr:col>
      <xdr:colOff>219075</xdr:colOff>
      <xdr:row>21</xdr:row>
      <xdr:rowOff>0</xdr:rowOff>
    </xdr:to>
    <xdr:cxnSp macro="">
      <xdr:nvCxnSpPr>
        <xdr:cNvPr id="5" name="直線コネクタ 4"/>
        <xdr:cNvCxnSpPr/>
      </xdr:nvCxnSpPr>
      <xdr:spPr>
        <a:xfrm flipH="1" flipV="1">
          <a:off x="0" y="3524250"/>
          <a:ext cx="1409700" cy="657225"/>
        </a:xfrm>
        <a:prstGeom prst="straightConnector1">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57150</xdr:colOff>
      <xdr:row>17</xdr:row>
      <xdr:rowOff>135255</xdr:rowOff>
    </xdr:from>
    <xdr:to xmlns:xdr="http://schemas.openxmlformats.org/drawingml/2006/spreadsheetDrawing">
      <xdr:col>7</xdr:col>
      <xdr:colOff>114300</xdr:colOff>
      <xdr:row>19</xdr:row>
      <xdr:rowOff>66040</xdr:rowOff>
    </xdr:to>
    <xdr:sp macro="" textlink="">
      <xdr:nvSpPr>
        <xdr:cNvPr id="6" name="テキスト ボックス 5"/>
        <xdr:cNvSpPr txBox="1"/>
      </xdr:nvSpPr>
      <xdr:spPr>
        <a:xfrm>
          <a:off x="771525" y="3488055"/>
          <a:ext cx="1009650" cy="2736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評価項目</a:t>
          </a:r>
        </a:p>
      </xdr:txBody>
    </xdr:sp>
    <xdr:clientData/>
  </xdr:twoCellAnchor>
  <xdr:twoCellAnchor>
    <xdr:from xmlns:xdr="http://schemas.openxmlformats.org/drawingml/2006/spreadsheetDrawing">
      <xdr:col>0</xdr:col>
      <xdr:colOff>76200</xdr:colOff>
      <xdr:row>19</xdr:row>
      <xdr:rowOff>66040</xdr:rowOff>
    </xdr:from>
    <xdr:to xmlns:xdr="http://schemas.openxmlformats.org/drawingml/2006/spreadsheetDrawing">
      <xdr:col>3</xdr:col>
      <xdr:colOff>47625</xdr:colOff>
      <xdr:row>20</xdr:row>
      <xdr:rowOff>142875</xdr:rowOff>
    </xdr:to>
    <xdr:sp macro="" textlink="">
      <xdr:nvSpPr>
        <xdr:cNvPr id="7" name="テキスト ボックス 6"/>
        <xdr:cNvSpPr txBox="1"/>
      </xdr:nvSpPr>
      <xdr:spPr>
        <a:xfrm>
          <a:off x="76200" y="3761740"/>
          <a:ext cx="685800"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業務名</a:t>
          </a:r>
          <a:endParaRPr kumimoji="1" lang="en-US" altLang="ja-JP" sz="1100" b="1"/>
        </a:p>
      </xdr:txBody>
    </xdr:sp>
    <xdr:clientData/>
  </xdr:twoCellAnchor>
  <xdr:twoCellAnchor>
    <xdr:from xmlns:xdr="http://schemas.openxmlformats.org/drawingml/2006/spreadsheetDrawing">
      <xdr:col>0</xdr:col>
      <xdr:colOff>0</xdr:colOff>
      <xdr:row>17</xdr:row>
      <xdr:rowOff>162560</xdr:rowOff>
    </xdr:from>
    <xdr:to xmlns:xdr="http://schemas.openxmlformats.org/drawingml/2006/spreadsheetDrawing">
      <xdr:col>5</xdr:col>
      <xdr:colOff>219075</xdr:colOff>
      <xdr:row>20</xdr:row>
      <xdr:rowOff>238125</xdr:rowOff>
    </xdr:to>
    <xdr:cxnSp macro="">
      <xdr:nvCxnSpPr>
        <xdr:cNvPr id="8" name="直線コネクタ 4"/>
        <xdr:cNvCxnSpPr/>
      </xdr:nvCxnSpPr>
      <xdr:spPr>
        <a:xfrm flipH="1" flipV="1">
          <a:off x="0" y="3515360"/>
          <a:ext cx="1409700" cy="656590"/>
        </a:xfrm>
        <a:prstGeom prst="straightConnector1">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57150</xdr:colOff>
      <xdr:row>17</xdr:row>
      <xdr:rowOff>135255</xdr:rowOff>
    </xdr:from>
    <xdr:to xmlns:xdr="http://schemas.openxmlformats.org/drawingml/2006/spreadsheetDrawing">
      <xdr:col>7</xdr:col>
      <xdr:colOff>114300</xdr:colOff>
      <xdr:row>19</xdr:row>
      <xdr:rowOff>66040</xdr:rowOff>
    </xdr:to>
    <xdr:sp macro="" textlink="">
      <xdr:nvSpPr>
        <xdr:cNvPr id="9" name="テキスト ボックス 8"/>
        <xdr:cNvSpPr txBox="1"/>
      </xdr:nvSpPr>
      <xdr:spPr>
        <a:xfrm>
          <a:off x="771525" y="3488055"/>
          <a:ext cx="1009650" cy="2736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評価項目</a:t>
          </a:r>
        </a:p>
      </xdr:txBody>
    </xdr:sp>
    <xdr:clientData/>
  </xdr:twoCellAnchor>
  <xdr:twoCellAnchor>
    <xdr:from xmlns:xdr="http://schemas.openxmlformats.org/drawingml/2006/spreadsheetDrawing">
      <xdr:col>0</xdr:col>
      <xdr:colOff>76200</xdr:colOff>
      <xdr:row>19</xdr:row>
      <xdr:rowOff>66040</xdr:rowOff>
    </xdr:from>
    <xdr:to xmlns:xdr="http://schemas.openxmlformats.org/drawingml/2006/spreadsheetDrawing">
      <xdr:col>3</xdr:col>
      <xdr:colOff>47625</xdr:colOff>
      <xdr:row>20</xdr:row>
      <xdr:rowOff>142875</xdr:rowOff>
    </xdr:to>
    <xdr:sp macro="" textlink="">
      <xdr:nvSpPr>
        <xdr:cNvPr id="10" name="テキスト ボックス 9"/>
        <xdr:cNvSpPr txBox="1"/>
      </xdr:nvSpPr>
      <xdr:spPr>
        <a:xfrm>
          <a:off x="76200" y="3761740"/>
          <a:ext cx="685800"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業務名</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13970</xdr:colOff>
      <xdr:row>4</xdr:row>
      <xdr:rowOff>70485</xdr:rowOff>
    </xdr:from>
    <xdr:to xmlns:xdr="http://schemas.openxmlformats.org/drawingml/2006/spreadsheetDrawing">
      <xdr:col>3</xdr:col>
      <xdr:colOff>856615</xdr:colOff>
      <xdr:row>4</xdr:row>
      <xdr:rowOff>440690</xdr:rowOff>
    </xdr:to>
    <xdr:sp macro="" textlink="">
      <xdr:nvSpPr>
        <xdr:cNvPr id="2" name="吹き出し: 四角形 1"/>
        <xdr:cNvSpPr/>
      </xdr:nvSpPr>
      <xdr:spPr>
        <a:xfrm>
          <a:off x="3242945" y="1318260"/>
          <a:ext cx="842645" cy="370205"/>
        </a:xfrm>
        <a:prstGeom prst="wedgeRectCallout">
          <a:avLst>
            <a:gd name="adj1" fmla="val 82482"/>
            <a:gd name="adj2" fmla="val 7900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mlns:xdr="http://schemas.openxmlformats.org/drawingml/2006/spreadsheetDrawing">
      <xdr:col>2</xdr:col>
      <xdr:colOff>0</xdr:colOff>
      <xdr:row>4</xdr:row>
      <xdr:rowOff>24130</xdr:rowOff>
    </xdr:from>
    <xdr:to xmlns:xdr="http://schemas.openxmlformats.org/drawingml/2006/spreadsheetDrawing">
      <xdr:col>2</xdr:col>
      <xdr:colOff>756285</xdr:colOff>
      <xdr:row>4</xdr:row>
      <xdr:rowOff>392430</xdr:rowOff>
    </xdr:to>
    <xdr:sp macro="" textlink="">
      <xdr:nvSpPr>
        <xdr:cNvPr id="3" name="吹き出し: 四角形 2"/>
        <xdr:cNvSpPr/>
      </xdr:nvSpPr>
      <xdr:spPr>
        <a:xfrm>
          <a:off x="2152650" y="1271905"/>
          <a:ext cx="756285" cy="368300"/>
        </a:xfrm>
        <a:prstGeom prst="wedgeRectCallout">
          <a:avLst>
            <a:gd name="adj1" fmla="val 90029"/>
            <a:gd name="adj2" fmla="val 6789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4</xdr:row>
      <xdr:rowOff>104775</xdr:rowOff>
    </xdr:from>
    <xdr:to xmlns:xdr="http://schemas.openxmlformats.org/drawingml/2006/spreadsheetDrawing">
      <xdr:col>2</xdr:col>
      <xdr:colOff>295275</xdr:colOff>
      <xdr:row>28</xdr:row>
      <xdr:rowOff>104775</xdr:rowOff>
    </xdr:to>
    <xdr:grpSp>
      <xdr:nvGrpSpPr>
        <xdr:cNvPr id="2" name="Group 20"/>
        <xdr:cNvGrpSpPr>
          <a:grpSpLocks noChangeAspect="1"/>
        </xdr:cNvGrpSpPr>
      </xdr:nvGrpSpPr>
      <xdr:grpSpPr>
        <a:xfrm>
          <a:off x="0" y="800100"/>
          <a:ext cx="1666875" cy="4114800"/>
          <a:chOff x="1216" y="437"/>
          <a:chExt cx="2626" cy="6477"/>
        </a:xfrm>
      </xdr:grpSpPr>
      <xdr:sp macro="" textlink="">
        <xdr:nvSpPr>
          <xdr:cNvPr id="3" name="AutoShape 22"/>
          <xdr:cNvSpPr>
            <a:spLocks noChangeAspect="1" noChangeArrowheads="1" noTextEdit="1"/>
          </xdr:cNvSpPr>
        </xdr:nvSpPr>
        <xdr:spPr>
          <a:xfrm>
            <a:off x="1216" y="2702"/>
            <a:ext cx="2626" cy="4212"/>
          </a:xfrm>
          <a:prstGeom prst="rect">
            <a:avLst/>
          </a:prstGeom>
          <a:noFill/>
          <a:ln>
            <a:noFill/>
          </a:ln>
        </xdr:spPr>
      </xdr:sp>
      <xdr:sp macro="" textlink="">
        <xdr:nvSpPr>
          <xdr:cNvPr id="4" name="Text Box 21"/>
          <xdr:cNvSpPr txBox="1">
            <a:spLocks noChangeArrowheads="1"/>
          </xdr:cNvSpPr>
        </xdr:nvSpPr>
        <xdr:spPr>
          <a:xfrm>
            <a:off x="1411" y="437"/>
            <a:ext cx="2251" cy="3613"/>
          </a:xfrm>
          <a:prstGeom prst="rect">
            <a:avLst/>
          </a:prstGeom>
          <a:solidFill>
            <a:srgbClr val="FFFFFF"/>
          </a:solidFill>
          <a:ln w="9525">
            <a:solidFill>
              <a:srgbClr val="000000"/>
            </a:solidFill>
            <a:prstDash val="dash"/>
            <a:miter lim="800000"/>
            <a:headEnd/>
            <a:tailEnd/>
          </a:ln>
        </xdr:spPr>
        <xdr:txBody>
          <a:bodyPr vertOverflow="clip" horzOverflow="overflow" wrap="square" lIns="74295" tIns="8890" rIns="74295" bIns="8890" anchor="t" upright="1"/>
          <a:lstStyle/>
          <a:p>
            <a:pPr algn="l" rtl="0">
              <a:lnSpc>
                <a:spcPts val="1200"/>
              </a:lnSpc>
              <a:defRPr sz="1000"/>
            </a:pPr>
            <a:r>
              <a:rPr lang="ja-JP" altLang="en-US" sz="1000" b="0" i="0" u="none" strike="noStrike" baseline="0">
                <a:solidFill>
                  <a:srgbClr val="FF0000"/>
                </a:solidFill>
                <a:latin typeface="ＭＳ ゴシック"/>
                <a:ea typeface="ＭＳ ゴシック"/>
              </a:rPr>
              <a:t>災害対策本部長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代理① ○○常務</a:t>
            </a:r>
            <a:endParaRPr lang="ja-JP" altLang="en-US" sz="1050" b="0" i="0" u="none" strike="noStrike" baseline="0">
              <a:solidFill>
                <a:srgbClr val="FF0000"/>
              </a:solidFill>
              <a:latin typeface="ＭＳ 明朝"/>
              <a:ea typeface="ＭＳ 明朝"/>
            </a:endParaRPr>
          </a:p>
          <a:p>
            <a:pPr algn="l" rtl="0">
              <a:defRPr sz="1000"/>
            </a:pPr>
            <a:r>
              <a:rPr lang="ja-JP" altLang="en-US" sz="1000" b="0" i="0" u="none" strike="noStrike" baseline="0">
                <a:solidFill>
                  <a:srgbClr val="FF0000"/>
                </a:solidFill>
                <a:latin typeface="ＭＳ ゴシック"/>
                <a:ea typeface="ＭＳ ゴシック"/>
              </a:rPr>
              <a:t>代理② ○○部長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　代理③ ○○部長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事務局長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代理① ○○部長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代理② ○○次長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代理③ ○○次長</a:t>
            </a:r>
            <a:endParaRPr lang="ja-JP" altLang="en-US" sz="1050" b="0" i="0" u="none" strike="noStrike" baseline="0">
              <a:solidFill>
                <a:srgbClr val="FF0000"/>
              </a:solidFill>
              <a:latin typeface="ＭＳ 明朝"/>
              <a:ea typeface="ＭＳ 明朝"/>
            </a:endParaRPr>
          </a:p>
          <a:p>
            <a:pPr algn="l" rtl="0">
              <a:lnSpc>
                <a:spcPts val="1200"/>
              </a:lnSpc>
              <a:defRPr sz="1000"/>
            </a:pPr>
            <a:r>
              <a:rPr lang="ja-JP" altLang="en-US" sz="1000" b="0" i="0" u="none" strike="noStrike" baseline="0">
                <a:solidFill>
                  <a:srgbClr val="FF0000"/>
                </a:solidFill>
                <a:latin typeface="ＭＳ ゴシック"/>
                <a:ea typeface="ＭＳ ゴシック"/>
              </a:rPr>
              <a:t>・・・</a:t>
            </a:r>
          </a:p>
        </xdr:txBody>
      </xdr:sp>
    </xdr:grpSp>
    <xdr:clientData/>
  </xdr:twoCellAnchor>
  <xdr:twoCellAnchor>
    <xdr:from xmlns:xdr="http://schemas.openxmlformats.org/drawingml/2006/spreadsheetDrawing">
      <xdr:col>0</xdr:col>
      <xdr:colOff>133350</xdr:colOff>
      <xdr:row>26</xdr:row>
      <xdr:rowOff>95250</xdr:rowOff>
    </xdr:from>
    <xdr:to xmlns:xdr="http://schemas.openxmlformats.org/drawingml/2006/spreadsheetDrawing">
      <xdr:col>2</xdr:col>
      <xdr:colOff>28575</xdr:colOff>
      <xdr:row>33</xdr:row>
      <xdr:rowOff>114300</xdr:rowOff>
    </xdr:to>
    <xdr:sp macro="" textlink="">
      <xdr:nvSpPr>
        <xdr:cNvPr id="5" name="Text Box 19"/>
        <xdr:cNvSpPr txBox="1">
          <a:spLocks noChangeArrowheads="1"/>
        </xdr:cNvSpPr>
      </xdr:nvSpPr>
      <xdr:spPr>
        <a:xfrm>
          <a:off x="133350" y="4562475"/>
          <a:ext cx="1266825" cy="121920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総 務 班 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○○部長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2</xdr:col>
      <xdr:colOff>76200</xdr:colOff>
      <xdr:row>26</xdr:row>
      <xdr:rowOff>114300</xdr:rowOff>
    </xdr:from>
    <xdr:to xmlns:xdr="http://schemas.openxmlformats.org/drawingml/2006/spreadsheetDrawing">
      <xdr:col>3</xdr:col>
      <xdr:colOff>657225</xdr:colOff>
      <xdr:row>33</xdr:row>
      <xdr:rowOff>143510</xdr:rowOff>
    </xdr:to>
    <xdr:sp macro="" textlink="">
      <xdr:nvSpPr>
        <xdr:cNvPr id="6" name="Text Box 18"/>
        <xdr:cNvSpPr txBox="1">
          <a:spLocks noChangeArrowheads="1"/>
        </xdr:cNvSpPr>
      </xdr:nvSpPr>
      <xdr:spPr>
        <a:xfrm>
          <a:off x="1447800" y="4581525"/>
          <a:ext cx="1266825" cy="122936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業 務 班 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○○課長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3</xdr:col>
      <xdr:colOff>647700</xdr:colOff>
      <xdr:row>27</xdr:row>
      <xdr:rowOff>0</xdr:rowOff>
    </xdr:from>
    <xdr:to xmlns:xdr="http://schemas.openxmlformats.org/drawingml/2006/spreadsheetDrawing">
      <xdr:col>5</xdr:col>
      <xdr:colOff>590550</xdr:colOff>
      <xdr:row>34</xdr:row>
      <xdr:rowOff>38100</xdr:rowOff>
    </xdr:to>
    <xdr:sp macro="" textlink="">
      <xdr:nvSpPr>
        <xdr:cNvPr id="7" name="Text Box 17"/>
        <xdr:cNvSpPr txBox="1">
          <a:spLocks noChangeArrowheads="1"/>
        </xdr:cNvSpPr>
      </xdr:nvSpPr>
      <xdr:spPr>
        <a:xfrm>
          <a:off x="2705100" y="4638675"/>
          <a:ext cx="1314450" cy="123825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対 外 班 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○○課長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6</xdr:col>
      <xdr:colOff>9525</xdr:colOff>
      <xdr:row>27</xdr:row>
      <xdr:rowOff>0</xdr:rowOff>
    </xdr:from>
    <xdr:to xmlns:xdr="http://schemas.openxmlformats.org/drawingml/2006/spreadsheetDrawing">
      <xdr:col>7</xdr:col>
      <xdr:colOff>628650</xdr:colOff>
      <xdr:row>34</xdr:row>
      <xdr:rowOff>66675</xdr:rowOff>
    </xdr:to>
    <xdr:sp macro="" textlink="">
      <xdr:nvSpPr>
        <xdr:cNvPr id="8" name="Text Box 16"/>
        <xdr:cNvSpPr txBox="1">
          <a:spLocks noChangeArrowheads="1"/>
        </xdr:cNvSpPr>
      </xdr:nvSpPr>
      <xdr:spPr>
        <a:xfrm>
          <a:off x="4124325" y="4638675"/>
          <a:ext cx="1304925" cy="1266825"/>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支 援 班 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○○課長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4</xdr:col>
      <xdr:colOff>581025</xdr:colOff>
      <xdr:row>24</xdr:row>
      <xdr:rowOff>0</xdr:rowOff>
    </xdr:from>
    <xdr:to xmlns:xdr="http://schemas.openxmlformats.org/drawingml/2006/spreadsheetDrawing">
      <xdr:col>4</xdr:col>
      <xdr:colOff>581025</xdr:colOff>
      <xdr:row>26</xdr:row>
      <xdr:rowOff>95250</xdr:rowOff>
    </xdr:to>
    <xdr:sp macro="" textlink="">
      <xdr:nvSpPr>
        <xdr:cNvPr id="9" name="Line 7"/>
        <xdr:cNvSpPr>
          <a:spLocks noChangeShapeType="1"/>
        </xdr:cNvSpPr>
      </xdr:nvSpPr>
      <xdr:spPr>
        <a:xfrm flipH="1">
          <a:off x="3324225" y="4124325"/>
          <a:ext cx="0" cy="438150"/>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6</xdr:col>
      <xdr:colOff>561975</xdr:colOff>
      <xdr:row>24</xdr:row>
      <xdr:rowOff>0</xdr:rowOff>
    </xdr:from>
    <xdr:to xmlns:xdr="http://schemas.openxmlformats.org/drawingml/2006/spreadsheetDrawing">
      <xdr:col>6</xdr:col>
      <xdr:colOff>561975</xdr:colOff>
      <xdr:row>26</xdr:row>
      <xdr:rowOff>95250</xdr:rowOff>
    </xdr:to>
    <xdr:sp macro="" textlink="">
      <xdr:nvSpPr>
        <xdr:cNvPr id="10" name="Line 6"/>
        <xdr:cNvSpPr>
          <a:spLocks noChangeShapeType="1"/>
        </xdr:cNvSpPr>
      </xdr:nvSpPr>
      <xdr:spPr>
        <a:xfrm>
          <a:off x="4676775" y="4124325"/>
          <a:ext cx="0" cy="438150"/>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0</xdr:col>
      <xdr:colOff>0</xdr:colOff>
      <xdr:row>41</xdr:row>
      <xdr:rowOff>161925</xdr:rowOff>
    </xdr:from>
    <xdr:to xmlns:xdr="http://schemas.openxmlformats.org/drawingml/2006/spreadsheetDrawing">
      <xdr:col>7</xdr:col>
      <xdr:colOff>657225</xdr:colOff>
      <xdr:row>45</xdr:row>
      <xdr:rowOff>161925</xdr:rowOff>
    </xdr:to>
    <xdr:sp macro="" textlink="">
      <xdr:nvSpPr>
        <xdr:cNvPr id="11" name="Text Box 2"/>
        <xdr:cNvSpPr txBox="1">
          <a:spLocks noChangeArrowheads="1"/>
        </xdr:cNvSpPr>
      </xdr:nvSpPr>
      <xdr:spPr>
        <a:xfrm>
          <a:off x="0" y="7200900"/>
          <a:ext cx="5457825" cy="685800"/>
        </a:xfrm>
        <a:prstGeom prst="rect">
          <a:avLst/>
        </a:prstGeom>
        <a:solidFill>
          <a:srgbClr val="FFFFFF"/>
        </a:solidFill>
        <a:ln w="9525">
          <a:solidFill>
            <a:srgbClr val="000000"/>
          </a:solidFill>
          <a:miter lim="800000"/>
          <a:headEnd/>
          <a:tailEnd/>
        </a:ln>
        <a:effectLst/>
      </xdr:spPr>
      <xdr:txBody>
        <a:bodyPr vertOverflow="clip" horzOverflow="overflow" wrap="square" lIns="74295" tIns="8890" rIns="74295" bIns="8890" anchor="t" upright="1"/>
        <a:lstStyle/>
        <a:p>
          <a:pPr algn="l" rtl="0">
            <a:lnSpc>
              <a:spcPts val="1000"/>
            </a:lnSpc>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参集要領</a:t>
          </a: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１．震度５弱（注：例示）以上の地震が発生した場合、事務局長・各班長は至急、　　　　対策本部へ集合。</a:t>
          </a:r>
          <a:endParaRPr lang="ja-JP" altLang="en-US" sz="105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２．上記以外の災害、事故時は、事務局から各班の班長（部課長）へ連絡。</a:t>
          </a:r>
          <a:endParaRPr lang="ja-JP" altLang="en-US" sz="105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３．上記連絡を受けた班長は、班内所属従業員へ別に定める連絡網にて連絡。</a:t>
          </a:r>
          <a:endParaRPr lang="ja-JP" altLang="en-US" sz="105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0</xdr:col>
      <xdr:colOff>66675</xdr:colOff>
      <xdr:row>34</xdr:row>
      <xdr:rowOff>38100</xdr:rowOff>
    </xdr:from>
    <xdr:to xmlns:xdr="http://schemas.openxmlformats.org/drawingml/2006/spreadsheetDrawing">
      <xdr:col>1</xdr:col>
      <xdr:colOff>657225</xdr:colOff>
      <xdr:row>39</xdr:row>
      <xdr:rowOff>66675</xdr:rowOff>
    </xdr:to>
    <xdr:sp macro="" textlink="">
      <xdr:nvSpPr>
        <xdr:cNvPr id="12" name="Text Box 15"/>
        <xdr:cNvSpPr txBox="1">
          <a:spLocks noChangeArrowheads="1"/>
        </xdr:cNvSpPr>
      </xdr:nvSpPr>
      <xdr:spPr>
        <a:xfrm>
          <a:off x="66675" y="5876925"/>
          <a:ext cx="1276350" cy="885825"/>
        </a:xfrm>
        <a:prstGeom prst="rect">
          <a:avLst/>
        </a:prstGeom>
        <a:solidFill>
          <a:srgbClr val="FFFFFF"/>
        </a:solidFill>
        <a:ln>
          <a:noFill/>
        </a:ln>
        <a:effectLst/>
      </xdr:spPr>
      <xdr:txBody>
        <a:bodyPr vertOverflow="clip" horzOverflow="overflow"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総　務　班</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班長代理　○○</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2</xdr:col>
      <xdr:colOff>66675</xdr:colOff>
      <xdr:row>34</xdr:row>
      <xdr:rowOff>76200</xdr:rowOff>
    </xdr:from>
    <xdr:to xmlns:xdr="http://schemas.openxmlformats.org/drawingml/2006/spreadsheetDrawing">
      <xdr:col>3</xdr:col>
      <xdr:colOff>638175</xdr:colOff>
      <xdr:row>39</xdr:row>
      <xdr:rowOff>104775</xdr:rowOff>
    </xdr:to>
    <xdr:sp macro="" textlink="">
      <xdr:nvSpPr>
        <xdr:cNvPr id="13" name="Text Box 14"/>
        <xdr:cNvSpPr txBox="1">
          <a:spLocks noChangeArrowheads="1"/>
        </xdr:cNvSpPr>
      </xdr:nvSpPr>
      <xdr:spPr>
        <a:xfrm>
          <a:off x="1438275" y="5915025"/>
          <a:ext cx="1257300" cy="885825"/>
        </a:xfrm>
        <a:prstGeom prst="rect">
          <a:avLst/>
        </a:prstGeom>
        <a:solidFill>
          <a:srgbClr val="FFFFFF"/>
        </a:solidFill>
        <a:ln>
          <a:noFill/>
        </a:ln>
        <a:effectLst/>
      </xdr:spPr>
      <xdr:txBody>
        <a:bodyPr vertOverflow="clip" horzOverflow="overflow"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業　務　班</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班長代理　○○</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4</xdr:col>
      <xdr:colOff>19050</xdr:colOff>
      <xdr:row>34</xdr:row>
      <xdr:rowOff>57150</xdr:rowOff>
    </xdr:from>
    <xdr:to xmlns:xdr="http://schemas.openxmlformats.org/drawingml/2006/spreadsheetDrawing">
      <xdr:col>5</xdr:col>
      <xdr:colOff>628650</xdr:colOff>
      <xdr:row>39</xdr:row>
      <xdr:rowOff>76200</xdr:rowOff>
    </xdr:to>
    <xdr:sp macro="" textlink="">
      <xdr:nvSpPr>
        <xdr:cNvPr id="14" name="Text Box 13"/>
        <xdr:cNvSpPr txBox="1">
          <a:spLocks noChangeArrowheads="1"/>
        </xdr:cNvSpPr>
      </xdr:nvSpPr>
      <xdr:spPr>
        <a:xfrm>
          <a:off x="2762250" y="5895975"/>
          <a:ext cx="1295400" cy="876300"/>
        </a:xfrm>
        <a:prstGeom prst="rect">
          <a:avLst/>
        </a:prstGeom>
        <a:solidFill>
          <a:srgbClr val="FFFFFF"/>
        </a:solidFill>
        <a:ln>
          <a:noFill/>
        </a:ln>
        <a:effectLst/>
      </xdr:spPr>
      <xdr:txBody>
        <a:bodyPr vertOverflow="clip" horzOverflow="overflow"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対　外　班</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班長代理　○○</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5</xdr:col>
      <xdr:colOff>666750</xdr:colOff>
      <xdr:row>34</xdr:row>
      <xdr:rowOff>76200</xdr:rowOff>
    </xdr:from>
    <xdr:to xmlns:xdr="http://schemas.openxmlformats.org/drawingml/2006/spreadsheetDrawing">
      <xdr:col>7</xdr:col>
      <xdr:colOff>600075</xdr:colOff>
      <xdr:row>39</xdr:row>
      <xdr:rowOff>104775</xdr:rowOff>
    </xdr:to>
    <xdr:sp macro="" textlink="">
      <xdr:nvSpPr>
        <xdr:cNvPr id="15" name="Text Box 12"/>
        <xdr:cNvSpPr txBox="1">
          <a:spLocks noChangeArrowheads="1"/>
        </xdr:cNvSpPr>
      </xdr:nvSpPr>
      <xdr:spPr>
        <a:xfrm>
          <a:off x="4095750" y="5915025"/>
          <a:ext cx="1304925" cy="885825"/>
        </a:xfrm>
        <a:prstGeom prst="rect">
          <a:avLst/>
        </a:prstGeom>
        <a:solidFill>
          <a:srgbClr val="FFFFFF"/>
        </a:solidFill>
        <a:ln>
          <a:noFill/>
        </a:ln>
        <a:effectLst/>
      </xdr:spPr>
      <xdr:txBody>
        <a:bodyPr vertOverflow="clip" horzOverflow="overflow" wrap="square" lIns="74295" tIns="8890" rIns="74295" bIns="8890" anchor="t" upright="1"/>
        <a:lstStyle/>
        <a:p>
          <a:pPr algn="l" rtl="0">
            <a:defRPr sz="1000"/>
          </a:pPr>
          <a:r>
            <a:rPr lang="ja-JP" altLang="en-US" sz="900" b="1" i="0" u="none" strike="noStrike" baseline="0">
              <a:solidFill>
                <a:srgbClr val="000000"/>
              </a:solidFill>
              <a:latin typeface="ＭＳ ゴシック"/>
              <a:ea typeface="ＭＳ ゴシック"/>
            </a:rPr>
            <a:t>支　援　班</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班長代理　○○</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所属従業員</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1</xdr:col>
      <xdr:colOff>9525</xdr:colOff>
      <xdr:row>24</xdr:row>
      <xdr:rowOff>0</xdr:rowOff>
    </xdr:from>
    <xdr:to xmlns:xdr="http://schemas.openxmlformats.org/drawingml/2006/spreadsheetDrawing">
      <xdr:col>1</xdr:col>
      <xdr:colOff>9525</xdr:colOff>
      <xdr:row>26</xdr:row>
      <xdr:rowOff>114300</xdr:rowOff>
    </xdr:to>
    <xdr:sp macro="" textlink="">
      <xdr:nvSpPr>
        <xdr:cNvPr id="16" name="Line 5"/>
        <xdr:cNvSpPr>
          <a:spLocks noChangeShapeType="1"/>
        </xdr:cNvSpPr>
      </xdr:nvSpPr>
      <xdr:spPr>
        <a:xfrm>
          <a:off x="695325" y="4124325"/>
          <a:ext cx="0" cy="457200"/>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2</xdr:col>
      <xdr:colOff>628650</xdr:colOff>
      <xdr:row>32</xdr:row>
      <xdr:rowOff>152400</xdr:rowOff>
    </xdr:from>
    <xdr:to xmlns:xdr="http://schemas.openxmlformats.org/drawingml/2006/spreadsheetDrawing">
      <xdr:col>2</xdr:col>
      <xdr:colOff>638175</xdr:colOff>
      <xdr:row>33</xdr:row>
      <xdr:rowOff>123825</xdr:rowOff>
    </xdr:to>
    <xdr:sp macro="" textlink="">
      <xdr:nvSpPr>
        <xdr:cNvPr id="17" name="Line 11"/>
        <xdr:cNvSpPr>
          <a:spLocks noChangeShapeType="1"/>
        </xdr:cNvSpPr>
      </xdr:nvSpPr>
      <xdr:spPr>
        <a:xfrm>
          <a:off x="2000250" y="5648325"/>
          <a:ext cx="9525" cy="142875"/>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4</xdr:col>
      <xdr:colOff>572135</xdr:colOff>
      <xdr:row>32</xdr:row>
      <xdr:rowOff>133350</xdr:rowOff>
    </xdr:from>
    <xdr:to xmlns:xdr="http://schemas.openxmlformats.org/drawingml/2006/spreadsheetDrawing">
      <xdr:col>4</xdr:col>
      <xdr:colOff>572135</xdr:colOff>
      <xdr:row>33</xdr:row>
      <xdr:rowOff>104775</xdr:rowOff>
    </xdr:to>
    <xdr:sp macro="" textlink="">
      <xdr:nvSpPr>
        <xdr:cNvPr id="18" name="Line 10"/>
        <xdr:cNvSpPr>
          <a:spLocks noChangeShapeType="1"/>
        </xdr:cNvSpPr>
      </xdr:nvSpPr>
      <xdr:spPr>
        <a:xfrm>
          <a:off x="3315335" y="5629275"/>
          <a:ext cx="0" cy="142875"/>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6</xdr:col>
      <xdr:colOff>542925</xdr:colOff>
      <xdr:row>32</xdr:row>
      <xdr:rowOff>123825</xdr:rowOff>
    </xdr:from>
    <xdr:to xmlns:xdr="http://schemas.openxmlformats.org/drawingml/2006/spreadsheetDrawing">
      <xdr:col>6</xdr:col>
      <xdr:colOff>552450</xdr:colOff>
      <xdr:row>33</xdr:row>
      <xdr:rowOff>133350</xdr:rowOff>
    </xdr:to>
    <xdr:sp macro="" textlink="">
      <xdr:nvSpPr>
        <xdr:cNvPr id="19" name="Line 9"/>
        <xdr:cNvSpPr>
          <a:spLocks noChangeShapeType="1"/>
        </xdr:cNvSpPr>
      </xdr:nvSpPr>
      <xdr:spPr>
        <a:xfrm>
          <a:off x="4657725" y="5619750"/>
          <a:ext cx="9525" cy="180975"/>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5</xdr:col>
      <xdr:colOff>142875</xdr:colOff>
      <xdr:row>14</xdr:row>
      <xdr:rowOff>38100</xdr:rowOff>
    </xdr:from>
    <xdr:to xmlns:xdr="http://schemas.openxmlformats.org/drawingml/2006/spreadsheetDrawing">
      <xdr:col>7</xdr:col>
      <xdr:colOff>0</xdr:colOff>
      <xdr:row>21</xdr:row>
      <xdr:rowOff>29210</xdr:rowOff>
    </xdr:to>
    <xdr:sp macro="" textlink="">
      <xdr:nvSpPr>
        <xdr:cNvPr id="20" name="Text Box 26"/>
        <xdr:cNvSpPr txBox="1">
          <a:spLocks noChangeArrowheads="1"/>
        </xdr:cNvSpPr>
      </xdr:nvSpPr>
      <xdr:spPr>
        <a:xfrm>
          <a:off x="3571875" y="2447925"/>
          <a:ext cx="1228725" cy="119126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災害対策副本部長</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○○常務</a:t>
          </a:r>
        </a:p>
        <a:p>
          <a:pPr algn="l" rtl="0">
            <a:lnSpc>
              <a:spcPts val="1100"/>
            </a:lnSpc>
            <a:defRPr sz="1000"/>
          </a:pPr>
          <a:r>
            <a:rPr lang="ja-JP" altLang="en-US" sz="900" b="0" i="0" u="none" strike="noStrike" baseline="0">
              <a:solidFill>
                <a:srgbClr val="000000"/>
              </a:solidFill>
              <a:latin typeface="ＭＳ ゴシック"/>
              <a:ea typeface="ＭＳ ゴシック"/>
            </a:rPr>
            <a:t>○○市○○</a:t>
          </a:r>
        </a:p>
        <a:p>
          <a:pPr algn="l" rtl="0">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p>
        <a:p>
          <a:pPr algn="l" rtl="0">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3</xdr:col>
      <xdr:colOff>66675</xdr:colOff>
      <xdr:row>12</xdr:row>
      <xdr:rowOff>76200</xdr:rowOff>
    </xdr:from>
    <xdr:to xmlns:xdr="http://schemas.openxmlformats.org/drawingml/2006/spreadsheetDrawing">
      <xdr:col>4</xdr:col>
      <xdr:colOff>628650</xdr:colOff>
      <xdr:row>19</xdr:row>
      <xdr:rowOff>19050</xdr:rowOff>
    </xdr:to>
    <xdr:sp macro="" textlink="">
      <xdr:nvSpPr>
        <xdr:cNvPr id="21" name="Text Box 30"/>
        <xdr:cNvSpPr txBox="1">
          <a:spLocks noChangeArrowheads="1"/>
        </xdr:cNvSpPr>
      </xdr:nvSpPr>
      <xdr:spPr>
        <a:xfrm>
          <a:off x="2124075" y="2143125"/>
          <a:ext cx="1247775" cy="1143000"/>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災害対策本部長</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○○専務</a:t>
          </a:r>
        </a:p>
        <a:p>
          <a:pPr algn="l" rtl="0">
            <a:defRPr sz="1000"/>
          </a:pPr>
          <a:r>
            <a:rPr lang="ja-JP" altLang="en-US" sz="900" b="0" i="0" u="none" strike="noStrike" baseline="0">
              <a:solidFill>
                <a:srgbClr val="000000"/>
              </a:solidFill>
              <a:latin typeface="ＭＳ ゴシック"/>
              <a:ea typeface="ＭＳ ゴシック"/>
            </a:rPr>
            <a:t>○○市○○</a:t>
          </a: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p>
        <a:p>
          <a:pPr algn="l" rtl="0">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5</xdr:col>
      <xdr:colOff>219075</xdr:colOff>
      <xdr:row>19</xdr:row>
      <xdr:rowOff>123825</xdr:rowOff>
    </xdr:from>
    <xdr:to xmlns:xdr="http://schemas.openxmlformats.org/drawingml/2006/spreadsheetDrawing">
      <xdr:col>9</xdr:col>
      <xdr:colOff>95250</xdr:colOff>
      <xdr:row>24</xdr:row>
      <xdr:rowOff>152400</xdr:rowOff>
    </xdr:to>
    <xdr:sp macro="" textlink="">
      <xdr:nvSpPr>
        <xdr:cNvPr id="22" name="Text Box 25"/>
        <xdr:cNvSpPr txBox="1">
          <a:spLocks noChangeArrowheads="1"/>
        </xdr:cNvSpPr>
      </xdr:nvSpPr>
      <xdr:spPr>
        <a:xfrm>
          <a:off x="3648075" y="3390900"/>
          <a:ext cx="2619375" cy="885825"/>
        </a:xfrm>
        <a:prstGeom prst="rect">
          <a:avLst/>
        </a:prstGeom>
        <a:noFill/>
        <a:ln>
          <a:noFill/>
        </a:ln>
        <a:effectLst/>
      </xdr:spPr>
      <xdr:txBody>
        <a:bodyPr vertOverflow="clip" horzOverflow="overflow" wrap="square" lIns="74295" tIns="8890" rIns="74295" bIns="8890" anchor="t" upright="1"/>
        <a:lstStyle/>
        <a:p>
          <a:pPr algn="l" rtl="0">
            <a:lnSpc>
              <a:spcPts val="1100"/>
            </a:lnSpc>
            <a:defRPr sz="1000"/>
          </a:pPr>
          <a:r>
            <a:rPr lang="ja-JP" altLang="en-US" sz="900" b="1" i="0" u="none" strike="noStrike" baseline="0">
              <a:solidFill>
                <a:srgbClr val="000000"/>
              </a:solidFill>
              <a:latin typeface="ＭＳ ゴシック"/>
              <a:ea typeface="ＭＳ ゴシック"/>
            </a:rPr>
            <a:t>事務局</a:t>
          </a:r>
          <a:r>
            <a:rPr lang="en-US" altLang="ja-JP" sz="900" b="1" i="0" u="none" strike="noStrike" baseline="0">
              <a:solidFill>
                <a:srgbClr val="000000"/>
              </a:solidFill>
              <a:latin typeface="ＭＳ ゴシック"/>
              <a:ea typeface="ＭＳ ゴシック"/>
            </a:rPr>
            <a:t>(</a:t>
          </a:r>
          <a:r>
            <a:rPr lang="ja-JP" altLang="en-US" sz="900" b="1" i="0" u="none" strike="noStrike" baseline="0">
              <a:solidFill>
                <a:srgbClr val="000000"/>
              </a:solidFill>
              <a:latin typeface="ＭＳ ゴシック"/>
              <a:ea typeface="ＭＳ ゴシック"/>
            </a:rPr>
            <a:t>総務部</a:t>
          </a:r>
          <a:r>
            <a:rPr lang="en-US" altLang="ja-JP" sz="900" b="1" i="0" u="none" strike="noStrike" baseline="0">
              <a:solidFill>
                <a:srgbClr val="000000"/>
              </a:solidFill>
              <a:latin typeface="ＭＳ ゴシック"/>
              <a:ea typeface="ＭＳ ゴシック"/>
            </a:rPr>
            <a:t>)</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事務局長</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○○部長　○○市○○町　℡ </a:t>
          </a:r>
          <a:r>
            <a:rPr lang="en-US" altLang="ja-JP" sz="900" b="0" i="0" u="none" strike="noStrike" baseline="0">
              <a:solidFill>
                <a:srgbClr val="000000"/>
              </a:solidFill>
              <a:latin typeface="ＭＳ ゴシック"/>
              <a:ea typeface="ＭＳ ゴシック"/>
            </a:rPr>
            <a:t>000-000-0000</a:t>
          </a:r>
          <a:r>
            <a:rPr lang="ja-JP" altLang="en-US" sz="90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r>
            <a:rPr lang="ja-JP" altLang="en-US" sz="900" b="0" i="0" u="none" strike="noStrike" baseline="0">
              <a:solidFill>
                <a:srgbClr val="000000"/>
              </a:solidFill>
              <a:latin typeface="ＭＳ ゴシック"/>
              <a:ea typeface="ＭＳ ゴシック"/>
            </a:rPr>
            <a:t>　携帯メールアドレス</a:t>
          </a:r>
          <a:endParaRPr lang="ja-JP" altLang="en-US"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4</xdr:col>
      <xdr:colOff>628650</xdr:colOff>
      <xdr:row>17</xdr:row>
      <xdr:rowOff>95250</xdr:rowOff>
    </xdr:from>
    <xdr:to xmlns:xdr="http://schemas.openxmlformats.org/drawingml/2006/spreadsheetDrawing">
      <xdr:col>5</xdr:col>
      <xdr:colOff>142875</xdr:colOff>
      <xdr:row>17</xdr:row>
      <xdr:rowOff>95250</xdr:rowOff>
    </xdr:to>
    <xdr:sp macro="" textlink="">
      <xdr:nvSpPr>
        <xdr:cNvPr id="23" name="Line 29"/>
        <xdr:cNvSpPr>
          <a:spLocks noChangeShapeType="1"/>
        </xdr:cNvSpPr>
      </xdr:nvSpPr>
      <xdr:spPr>
        <a:xfrm>
          <a:off x="3371850" y="3019425"/>
          <a:ext cx="200025" cy="0"/>
        </a:xfrm>
        <a:prstGeom prst="line">
          <a:avLst/>
        </a:prstGeom>
        <a:noFill/>
        <a:ln w="19050">
          <a:solidFill>
            <a:srgbClr val="000000"/>
          </a:solidFill>
          <a:round/>
          <a:headEnd type="triangle" w="med" len="med"/>
          <a:tailEnd type="triangle" w="med" len="med"/>
        </a:ln>
      </xdr:spPr>
    </xdr:sp>
    <xdr:clientData/>
  </xdr:twoCellAnchor>
  <xdr:twoCellAnchor>
    <xdr:from xmlns:xdr="http://schemas.openxmlformats.org/drawingml/2006/spreadsheetDrawing">
      <xdr:col>1</xdr:col>
      <xdr:colOff>9525</xdr:colOff>
      <xdr:row>32</xdr:row>
      <xdr:rowOff>161925</xdr:rowOff>
    </xdr:from>
    <xdr:to xmlns:xdr="http://schemas.openxmlformats.org/drawingml/2006/spreadsheetDrawing">
      <xdr:col>1</xdr:col>
      <xdr:colOff>9525</xdr:colOff>
      <xdr:row>33</xdr:row>
      <xdr:rowOff>114300</xdr:rowOff>
    </xdr:to>
    <xdr:sp macro="" textlink="">
      <xdr:nvSpPr>
        <xdr:cNvPr id="24" name="Line 8"/>
        <xdr:cNvSpPr>
          <a:spLocks noChangeShapeType="1"/>
        </xdr:cNvSpPr>
      </xdr:nvSpPr>
      <xdr:spPr>
        <a:xfrm>
          <a:off x="695325" y="5657850"/>
          <a:ext cx="0" cy="123825"/>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5</xdr:col>
      <xdr:colOff>47625</xdr:colOff>
      <xdr:row>10</xdr:row>
      <xdr:rowOff>66675</xdr:rowOff>
    </xdr:from>
    <xdr:to xmlns:xdr="http://schemas.openxmlformats.org/drawingml/2006/spreadsheetDrawing">
      <xdr:col>7</xdr:col>
      <xdr:colOff>514350</xdr:colOff>
      <xdr:row>10</xdr:row>
      <xdr:rowOff>66675</xdr:rowOff>
    </xdr:to>
    <xdr:sp macro="" textlink="">
      <xdr:nvSpPr>
        <xdr:cNvPr id="25" name="Line 27"/>
        <xdr:cNvSpPr>
          <a:spLocks noChangeShapeType="1"/>
        </xdr:cNvSpPr>
      </xdr:nvSpPr>
      <xdr:spPr>
        <a:xfrm flipH="1" flipV="1">
          <a:off x="3476625" y="1790700"/>
          <a:ext cx="1838325" cy="0"/>
        </a:xfrm>
        <a:prstGeom prst="line">
          <a:avLst/>
        </a:prstGeom>
        <a:noFill/>
        <a:ln w="19050">
          <a:solidFill>
            <a:srgbClr val="000000"/>
          </a:solidFill>
          <a:prstDash val="sysDot"/>
          <a:round/>
          <a:headEnd/>
          <a:tailEnd type="triangle" w="med" len="med"/>
        </a:ln>
      </xdr:spPr>
    </xdr:sp>
    <xdr:clientData/>
  </xdr:twoCellAnchor>
  <xdr:twoCellAnchor>
    <xdr:from xmlns:xdr="http://schemas.openxmlformats.org/drawingml/2006/spreadsheetDrawing">
      <xdr:col>7</xdr:col>
      <xdr:colOff>66675</xdr:colOff>
      <xdr:row>15</xdr:row>
      <xdr:rowOff>95250</xdr:rowOff>
    </xdr:from>
    <xdr:to xmlns:xdr="http://schemas.openxmlformats.org/drawingml/2006/spreadsheetDrawing">
      <xdr:col>7</xdr:col>
      <xdr:colOff>561975</xdr:colOff>
      <xdr:row>15</xdr:row>
      <xdr:rowOff>95250</xdr:rowOff>
    </xdr:to>
    <xdr:sp macro="" textlink="">
      <xdr:nvSpPr>
        <xdr:cNvPr id="26" name="Line 31"/>
        <xdr:cNvSpPr>
          <a:spLocks noChangeShapeType="1"/>
        </xdr:cNvSpPr>
      </xdr:nvSpPr>
      <xdr:spPr>
        <a:xfrm flipH="1" flipV="1">
          <a:off x="4867275" y="2676525"/>
          <a:ext cx="495300" cy="0"/>
        </a:xfrm>
        <a:prstGeom prst="line">
          <a:avLst/>
        </a:prstGeom>
        <a:noFill/>
        <a:ln w="19050">
          <a:solidFill>
            <a:srgbClr val="000000"/>
          </a:solidFill>
          <a:prstDash val="sysDot"/>
          <a:round/>
          <a:headEnd/>
          <a:tailEnd type="triangle" w="med" len="med"/>
        </a:ln>
      </xdr:spPr>
    </xdr:sp>
    <xdr:clientData/>
  </xdr:twoCellAnchor>
  <xdr:twoCellAnchor>
    <xdr:from xmlns:xdr="http://schemas.openxmlformats.org/drawingml/2006/spreadsheetDrawing">
      <xdr:col>3</xdr:col>
      <xdr:colOff>47625</xdr:colOff>
      <xdr:row>3</xdr:row>
      <xdr:rowOff>143510</xdr:rowOff>
    </xdr:from>
    <xdr:to xmlns:xdr="http://schemas.openxmlformats.org/drawingml/2006/spreadsheetDrawing">
      <xdr:col>4</xdr:col>
      <xdr:colOff>666750</xdr:colOff>
      <xdr:row>9</xdr:row>
      <xdr:rowOff>47625</xdr:rowOff>
    </xdr:to>
    <xdr:sp macro="" textlink="">
      <xdr:nvSpPr>
        <xdr:cNvPr id="27" name="Text Box 35"/>
        <xdr:cNvSpPr txBox="1">
          <a:spLocks noChangeArrowheads="1"/>
        </xdr:cNvSpPr>
      </xdr:nvSpPr>
      <xdr:spPr>
        <a:xfrm>
          <a:off x="2105025" y="667385"/>
          <a:ext cx="1304925" cy="932815"/>
        </a:xfrm>
        <a:prstGeom prst="rect">
          <a:avLst/>
        </a:prstGeom>
        <a:noFill/>
        <a:ln>
          <a:noFill/>
        </a:ln>
        <a:effectLst/>
      </xdr:spPr>
      <xdr:txBody>
        <a:bodyPr vertOverflow="clip" horzOverflow="overflow" wrap="square" lIns="74295" tIns="8890" rIns="74295" bIns="8890" anchor="t" upright="1"/>
        <a:lstStyle/>
        <a:p>
          <a:pPr algn="l" rtl="0">
            <a:defRPr sz="1000"/>
          </a:pPr>
          <a:r>
            <a:rPr lang="ja-JP" altLang="en-US" sz="1000" b="1" i="0" u="none" strike="noStrike" baseline="0">
              <a:solidFill>
                <a:srgbClr val="000000"/>
              </a:solidFill>
              <a:latin typeface="ＭＳ ゴシック"/>
              <a:ea typeface="ＭＳ ゴシック"/>
            </a:rPr>
            <a:t>社長</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○○市○○</a:t>
          </a: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en-US" altLang="ja-JP" sz="900" b="0" i="0" u="none" strike="noStrike" baseline="0">
              <a:solidFill>
                <a:srgbClr val="000000"/>
              </a:solidFill>
              <a:latin typeface="ＭＳ ゴシック"/>
              <a:ea typeface="ＭＳ ゴシック"/>
            </a:rPr>
            <a:t>000-000-0000</a:t>
          </a:r>
        </a:p>
        <a:p>
          <a:pPr algn="l" rtl="0">
            <a:lnSpc>
              <a:spcPts val="1100"/>
            </a:lnSpc>
            <a:defRPr sz="1000"/>
          </a:pPr>
          <a:r>
            <a:rPr lang="ja-JP" altLang="en-US" sz="900" b="0" i="0" u="none" strike="noStrike" baseline="0">
              <a:solidFill>
                <a:srgbClr val="000000"/>
              </a:solidFill>
              <a:latin typeface="ＭＳ ゴシック"/>
              <a:ea typeface="ＭＳ ゴシック"/>
            </a:rPr>
            <a:t>携 </a:t>
          </a:r>
          <a:r>
            <a:rPr lang="en-US" altLang="ja-JP" sz="900" b="0" i="0" u="none" strike="noStrike" baseline="0">
              <a:solidFill>
                <a:srgbClr val="000000"/>
              </a:solidFill>
              <a:latin typeface="ＭＳ ゴシック"/>
              <a:ea typeface="ＭＳ ゴシック"/>
            </a:rPr>
            <a:t>000-0000-0000</a:t>
          </a:r>
          <a:endParaRPr lang="en-US" altLang="ja-JP"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携帯メールアドレス</a:t>
          </a:r>
          <a:endParaRPr lang="ja-JP" altLang="en-US" sz="105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mlns:xdr="http://schemas.openxmlformats.org/drawingml/2006/spreadsheetDrawing">
      <xdr:col>7</xdr:col>
      <xdr:colOff>561975</xdr:colOff>
      <xdr:row>11</xdr:row>
      <xdr:rowOff>104775</xdr:rowOff>
    </xdr:from>
    <xdr:to xmlns:xdr="http://schemas.openxmlformats.org/drawingml/2006/spreadsheetDrawing">
      <xdr:col>8</xdr:col>
      <xdr:colOff>257175</xdr:colOff>
      <xdr:row>16</xdr:row>
      <xdr:rowOff>133350</xdr:rowOff>
    </xdr:to>
    <xdr:sp macro="" textlink="">
      <xdr:nvSpPr>
        <xdr:cNvPr id="28" name="Text Box 33"/>
        <xdr:cNvSpPr txBox="1">
          <a:spLocks noChangeArrowheads="1"/>
        </xdr:cNvSpPr>
      </xdr:nvSpPr>
      <xdr:spPr>
        <a:xfrm>
          <a:off x="5362575" y="2000250"/>
          <a:ext cx="381000" cy="885825"/>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lnSpc>
              <a:spcPts val="1200"/>
            </a:lnSpc>
            <a:defRPr sz="1000"/>
          </a:pPr>
          <a:r>
            <a:rPr lang="ja-JP" altLang="en-US" sz="1050" b="1" i="0" u="none" strike="noStrike" baseline="0">
              <a:solidFill>
                <a:srgbClr val="000000"/>
              </a:solidFill>
              <a:latin typeface="ＭＳ ゴシック"/>
              <a:ea typeface="ＭＳ ゴシック"/>
            </a:rPr>
            <a:t>初動の連絡</a:t>
          </a:r>
        </a:p>
      </xdr:txBody>
    </xdr:sp>
    <xdr:clientData/>
  </xdr:twoCellAnchor>
  <xdr:twoCellAnchor>
    <xdr:from xmlns:xdr="http://schemas.openxmlformats.org/drawingml/2006/spreadsheetDrawing">
      <xdr:col>7</xdr:col>
      <xdr:colOff>514350</xdr:colOff>
      <xdr:row>10</xdr:row>
      <xdr:rowOff>76200</xdr:rowOff>
    </xdr:from>
    <xdr:to xmlns:xdr="http://schemas.openxmlformats.org/drawingml/2006/spreadsheetDrawing">
      <xdr:col>7</xdr:col>
      <xdr:colOff>514350</xdr:colOff>
      <xdr:row>19</xdr:row>
      <xdr:rowOff>161925</xdr:rowOff>
    </xdr:to>
    <xdr:sp macro="" textlink="">
      <xdr:nvSpPr>
        <xdr:cNvPr id="29" name="Line 23"/>
        <xdr:cNvSpPr>
          <a:spLocks noChangeShapeType="1"/>
        </xdr:cNvSpPr>
      </xdr:nvSpPr>
      <xdr:spPr>
        <a:xfrm flipV="1">
          <a:off x="5314950" y="1800225"/>
          <a:ext cx="0" cy="1628775"/>
        </a:xfrm>
        <a:prstGeom prst="line">
          <a:avLst/>
        </a:prstGeom>
        <a:noFill/>
        <a:ln w="19050">
          <a:solidFill>
            <a:srgbClr val="000000"/>
          </a:solidFill>
          <a:prstDash val="sysDot"/>
          <a:round/>
          <a:headEnd/>
          <a:tailEnd/>
        </a:ln>
      </xdr:spPr>
    </xdr:sp>
    <xdr:clientData/>
  </xdr:twoCellAnchor>
  <xdr:twoCellAnchor>
    <xdr:from xmlns:xdr="http://schemas.openxmlformats.org/drawingml/2006/spreadsheetDrawing">
      <xdr:col>5</xdr:col>
      <xdr:colOff>57150</xdr:colOff>
      <xdr:row>10</xdr:row>
      <xdr:rowOff>66675</xdr:rowOff>
    </xdr:from>
    <xdr:to xmlns:xdr="http://schemas.openxmlformats.org/drawingml/2006/spreadsheetDrawing">
      <xdr:col>7</xdr:col>
      <xdr:colOff>514350</xdr:colOff>
      <xdr:row>13</xdr:row>
      <xdr:rowOff>86360</xdr:rowOff>
    </xdr:to>
    <xdr:sp macro="" textlink="">
      <xdr:nvSpPr>
        <xdr:cNvPr id="30" name="Line 28"/>
        <xdr:cNvSpPr>
          <a:spLocks noChangeShapeType="1"/>
        </xdr:cNvSpPr>
      </xdr:nvSpPr>
      <xdr:spPr>
        <a:xfrm flipH="1">
          <a:off x="3486150" y="1790700"/>
          <a:ext cx="1828800" cy="534035"/>
        </a:xfrm>
        <a:prstGeom prst="line">
          <a:avLst/>
        </a:prstGeom>
        <a:noFill/>
        <a:ln w="19050">
          <a:solidFill>
            <a:srgbClr val="000000"/>
          </a:solidFill>
          <a:prstDash val="sysDot"/>
          <a:round/>
          <a:headEnd/>
          <a:tailEnd type="triangle" w="med" len="med"/>
        </a:ln>
      </xdr:spPr>
    </xdr:sp>
    <xdr:clientData/>
  </xdr:twoCellAnchor>
  <xdr:twoCellAnchor>
    <xdr:from xmlns:xdr="http://schemas.openxmlformats.org/drawingml/2006/spreadsheetDrawing">
      <xdr:col>0</xdr:col>
      <xdr:colOff>0</xdr:colOff>
      <xdr:row>46</xdr:row>
      <xdr:rowOff>66675</xdr:rowOff>
    </xdr:from>
    <xdr:to xmlns:xdr="http://schemas.openxmlformats.org/drawingml/2006/spreadsheetDrawing">
      <xdr:col>7</xdr:col>
      <xdr:colOff>657225</xdr:colOff>
      <xdr:row>50</xdr:row>
      <xdr:rowOff>76200</xdr:rowOff>
    </xdr:to>
    <xdr:sp macro="" textlink="">
      <xdr:nvSpPr>
        <xdr:cNvPr id="31" name="Text Box 1"/>
        <xdr:cNvSpPr txBox="1">
          <a:spLocks noChangeArrowheads="1"/>
        </xdr:cNvSpPr>
      </xdr:nvSpPr>
      <xdr:spPr>
        <a:xfrm>
          <a:off x="0" y="7962900"/>
          <a:ext cx="5457825" cy="695325"/>
        </a:xfrm>
        <a:prstGeom prst="rect">
          <a:avLst/>
        </a:prstGeom>
        <a:solidFill>
          <a:srgbClr val="FFFFFF"/>
        </a:solidFill>
        <a:ln w="9525">
          <a:solidFill>
            <a:srgbClr val="000000"/>
          </a:solidFill>
          <a:miter lim="800000"/>
          <a:headEnd/>
          <a:tailEnd/>
        </a:ln>
        <a:effectLst/>
      </xdr:spPr>
      <xdr:txBody>
        <a:bodyPr vertOverflow="clip" horzOverflow="overflow" wrap="square" lIns="74295" tIns="8890" rIns="74295" bIns="8890" anchor="t" upright="1"/>
        <a:lstStyle/>
        <a:p>
          <a:pPr algn="l" rtl="0">
            <a:lnSpc>
              <a:spcPts val="1100"/>
            </a:lnSpc>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班の業務</a:t>
          </a: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１．上記の班別は、あくまでも一例であり、以上のほかに復旧対策班、財務班などを設けるなど、企業ごとに合理的な班別編成を検討する。</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２．班ごとの業務を決め、それぞれ明記する。</a:t>
          </a:r>
          <a:endParaRPr lang="ja-JP" altLang="en-US" sz="105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３．本部長、事務局長、班長等は、集まれない場合に備え、それぞれ第</a:t>
          </a:r>
          <a:r>
            <a:rPr lang="en-US" altLang="ja-JP" sz="900" b="0" i="0" u="none" strike="noStrike" baseline="0">
              <a:solidFill>
                <a:srgbClr val="000000"/>
              </a:solidFill>
              <a:latin typeface="ＭＳ ゴシック"/>
              <a:ea typeface="ＭＳ ゴシック"/>
            </a:rPr>
            <a:t>3</a:t>
          </a:r>
          <a:r>
            <a:rPr lang="ja-JP" altLang="en-US" sz="900" b="0" i="0" u="none" strike="noStrike" baseline="0">
              <a:solidFill>
                <a:srgbClr val="000000"/>
              </a:solidFill>
              <a:latin typeface="ＭＳ ゴシック"/>
              <a:ea typeface="ＭＳ ゴシック"/>
            </a:rPr>
            <a:t>順位まで決めておく。</a:t>
          </a:r>
        </a:p>
      </xdr:txBody>
    </xdr:sp>
    <xdr:clientData/>
  </xdr:twoCellAnchor>
  <xdr:twoCellAnchor>
    <xdr:from xmlns:xdr="http://schemas.openxmlformats.org/drawingml/2006/spreadsheetDrawing">
      <xdr:col>1</xdr:col>
      <xdr:colOff>9525</xdr:colOff>
      <xdr:row>24</xdr:row>
      <xdr:rowOff>0</xdr:rowOff>
    </xdr:from>
    <xdr:to xmlns:xdr="http://schemas.openxmlformats.org/drawingml/2006/spreadsheetDrawing">
      <xdr:col>6</xdr:col>
      <xdr:colOff>561975</xdr:colOff>
      <xdr:row>24</xdr:row>
      <xdr:rowOff>0</xdr:rowOff>
    </xdr:to>
    <xdr:sp macro="" textlink="">
      <xdr:nvSpPr>
        <xdr:cNvPr id="32" name="Line 4"/>
        <xdr:cNvSpPr>
          <a:spLocks noChangeShapeType="1"/>
        </xdr:cNvSpPr>
      </xdr:nvSpPr>
      <xdr:spPr>
        <a:xfrm flipV="1">
          <a:off x="695325" y="4124325"/>
          <a:ext cx="3981450" cy="0"/>
        </a:xfrm>
        <a:prstGeom prst="line">
          <a:avLst/>
        </a:prstGeom>
        <a:noFill/>
        <a:ln w="19050">
          <a:solidFill>
            <a:srgbClr val="000000"/>
          </a:solidFill>
          <a:round/>
          <a:headEnd/>
          <a:tailEnd/>
        </a:ln>
      </xdr:spPr>
    </xdr:sp>
    <xdr:clientData/>
  </xdr:twoCellAnchor>
  <xdr:twoCellAnchor>
    <xdr:from xmlns:xdr="http://schemas.openxmlformats.org/drawingml/2006/spreadsheetDrawing">
      <xdr:col>3</xdr:col>
      <xdr:colOff>628650</xdr:colOff>
      <xdr:row>10</xdr:row>
      <xdr:rowOff>0</xdr:rowOff>
    </xdr:from>
    <xdr:to xmlns:xdr="http://schemas.openxmlformats.org/drawingml/2006/spreadsheetDrawing">
      <xdr:col>3</xdr:col>
      <xdr:colOff>638175</xdr:colOff>
      <xdr:row>11</xdr:row>
      <xdr:rowOff>76200</xdr:rowOff>
    </xdr:to>
    <xdr:sp macro="" textlink="">
      <xdr:nvSpPr>
        <xdr:cNvPr id="33" name="Line 34"/>
        <xdr:cNvSpPr>
          <a:spLocks noChangeShapeType="1"/>
        </xdr:cNvSpPr>
      </xdr:nvSpPr>
      <xdr:spPr>
        <a:xfrm flipV="1">
          <a:off x="2686050" y="1724025"/>
          <a:ext cx="9525" cy="247650"/>
        </a:xfrm>
        <a:prstGeom prst="line">
          <a:avLst/>
        </a:prstGeom>
        <a:noFill/>
        <a:ln w="19050">
          <a:solidFill>
            <a:srgbClr val="000000"/>
          </a:solidFill>
          <a:round/>
          <a:headEnd type="triangle" w="med" len="med"/>
          <a:tailEnd type="triangle" w="med" len="med"/>
        </a:ln>
      </xdr:spPr>
    </xdr:sp>
    <xdr:clientData/>
  </xdr:twoCellAnchor>
  <xdr:twoCellAnchor>
    <xdr:from xmlns:xdr="http://schemas.openxmlformats.org/drawingml/2006/spreadsheetDrawing">
      <xdr:col>3</xdr:col>
      <xdr:colOff>638175</xdr:colOff>
      <xdr:row>21</xdr:row>
      <xdr:rowOff>114300</xdr:rowOff>
    </xdr:from>
    <xdr:to xmlns:xdr="http://schemas.openxmlformats.org/drawingml/2006/spreadsheetDrawing">
      <xdr:col>5</xdr:col>
      <xdr:colOff>142875</xdr:colOff>
      <xdr:row>21</xdr:row>
      <xdr:rowOff>114300</xdr:rowOff>
    </xdr:to>
    <xdr:sp macro="" textlink="">
      <xdr:nvSpPr>
        <xdr:cNvPr id="34" name="Line 24"/>
        <xdr:cNvSpPr>
          <a:spLocks noChangeShapeType="1"/>
        </xdr:cNvSpPr>
      </xdr:nvSpPr>
      <xdr:spPr>
        <a:xfrm flipV="1">
          <a:off x="2695575" y="3724275"/>
          <a:ext cx="876300" cy="0"/>
        </a:xfrm>
        <a:prstGeom prst="line">
          <a:avLst/>
        </a:prstGeom>
        <a:noFill/>
        <a:ln w="19050">
          <a:solidFill>
            <a:srgbClr val="000000"/>
          </a:solidFill>
          <a:round/>
          <a:headEnd/>
          <a:tailEnd/>
        </a:ln>
      </xdr:spPr>
    </xdr:sp>
    <xdr:clientData/>
  </xdr:twoCellAnchor>
  <xdr:twoCellAnchor>
    <xdr:from xmlns:xdr="http://schemas.openxmlformats.org/drawingml/2006/spreadsheetDrawing">
      <xdr:col>3</xdr:col>
      <xdr:colOff>638175</xdr:colOff>
      <xdr:row>18</xdr:row>
      <xdr:rowOff>29210</xdr:rowOff>
    </xdr:from>
    <xdr:to xmlns:xdr="http://schemas.openxmlformats.org/drawingml/2006/spreadsheetDrawing">
      <xdr:col>3</xdr:col>
      <xdr:colOff>638175</xdr:colOff>
      <xdr:row>24</xdr:row>
      <xdr:rowOff>29210</xdr:rowOff>
    </xdr:to>
    <xdr:sp macro="" textlink="">
      <xdr:nvSpPr>
        <xdr:cNvPr id="35" name="Line 32"/>
        <xdr:cNvSpPr>
          <a:spLocks noChangeShapeType="1"/>
        </xdr:cNvSpPr>
      </xdr:nvSpPr>
      <xdr:spPr>
        <a:xfrm flipV="1">
          <a:off x="2695575" y="3124835"/>
          <a:ext cx="0" cy="1028700"/>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2</xdr:col>
      <xdr:colOff>581025</xdr:colOff>
      <xdr:row>24</xdr:row>
      <xdr:rowOff>0</xdr:rowOff>
    </xdr:from>
    <xdr:to xmlns:xdr="http://schemas.openxmlformats.org/drawingml/2006/spreadsheetDrawing">
      <xdr:col>2</xdr:col>
      <xdr:colOff>581025</xdr:colOff>
      <xdr:row>26</xdr:row>
      <xdr:rowOff>114300</xdr:rowOff>
    </xdr:to>
    <xdr:sp macro="" textlink="">
      <xdr:nvSpPr>
        <xdr:cNvPr id="36" name="Line 3"/>
        <xdr:cNvSpPr>
          <a:spLocks noChangeShapeType="1"/>
        </xdr:cNvSpPr>
      </xdr:nvSpPr>
      <xdr:spPr>
        <a:xfrm>
          <a:off x="1952625" y="4124325"/>
          <a:ext cx="0" cy="457200"/>
        </a:xfrm>
        <a:prstGeom prst="line">
          <a:avLst/>
        </a:prstGeom>
        <a:noFill/>
        <a:ln w="19050">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80645</xdr:colOff>
      <xdr:row>6</xdr:row>
      <xdr:rowOff>160020</xdr:rowOff>
    </xdr:from>
    <xdr:to xmlns:xdr="http://schemas.openxmlformats.org/drawingml/2006/spreadsheetDrawing">
      <xdr:col>8</xdr:col>
      <xdr:colOff>502920</xdr:colOff>
      <xdr:row>30</xdr:row>
      <xdr:rowOff>116840</xdr:rowOff>
    </xdr:to>
    <xdr:pic macro="">
      <xdr:nvPicPr>
        <xdr:cNvPr id="9" name="図 8"/>
        <xdr:cNvPicPr>
          <a:picLocks noChangeAspect="1"/>
        </xdr:cNvPicPr>
      </xdr:nvPicPr>
      <xdr:blipFill>
        <a:blip xmlns:r="http://schemas.openxmlformats.org/officeDocument/2006/relationships" r:embed="rId1"/>
        <a:stretch>
          <a:fillRect/>
        </a:stretch>
      </xdr:blipFill>
      <xdr:spPr>
        <a:xfrm>
          <a:off x="80645" y="1322070"/>
          <a:ext cx="6042025" cy="4071620"/>
        </a:xfrm>
        <a:prstGeom prst="rect">
          <a:avLst/>
        </a:prstGeom>
      </xdr:spPr>
    </xdr:pic>
    <xdr:clientData/>
  </xdr:twoCellAnchor>
</xdr:wsDr>
</file>

<file path=xl/theme/theme1.xml><?xml version="1.0" encoding="utf-8"?>
<a:theme xmlns:a="http://schemas.openxmlformats.org/drawingml/2006/main" name="Office テーマ">
  <a:themeElements>
    <a:clrScheme name="ASCO">
      <a:dk1>
        <a:srgbClr val="000000"/>
      </a:dk1>
      <a:lt1>
        <a:srgbClr val="FFFFFF"/>
      </a:lt1>
      <a:dk2>
        <a:srgbClr val="000000"/>
      </a:dk2>
      <a:lt2>
        <a:srgbClr val="808080"/>
      </a:lt2>
      <a:accent1>
        <a:srgbClr val="D93563"/>
      </a:accent1>
      <a:accent2>
        <a:srgbClr val="EFC3BD"/>
      </a:accent2>
      <a:accent3>
        <a:srgbClr val="E5E5E5"/>
      </a:accent3>
      <a:accent4>
        <a:srgbClr val="0099CC"/>
      </a:accent4>
      <a:accent5>
        <a:srgbClr val="D7EEFA"/>
      </a:accent5>
      <a:accent6>
        <a:srgbClr val="E4E164"/>
      </a:accent6>
      <a:hlink>
        <a:srgbClr val="009999"/>
      </a:hlink>
      <a:folHlink>
        <a:srgbClr val="99CC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2.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3.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hyperlink" Target="https://www.pref.shizuoka.jp/bosaikinkyu/sonae/earthquake/nankaitorafu/1035406.html" TargetMode="External" /><Relationship Id="rId2" Type="http://schemas.openxmlformats.org/officeDocument/2006/relationships/hyperlink" Target="https://www.bousai.go.jp/jishin/nankai/taio_wg/pdf/h300806shiryo02.pdf" TargetMode="External" /><Relationship Id="rId3"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hyperlink" Target="http://www.pref.shizuoka.jp/bousai/toukei/passport2/index.html" TargetMode="External" /><Relationship Id="rId2" Type="http://schemas.openxmlformats.org/officeDocument/2006/relationships/printerSettings" Target="../printerSettings/printerSettings31.bin" /><Relationship Id="rId3" Type="http://schemas.openxmlformats.org/officeDocument/2006/relationships/drawing" Target="../drawings/drawing4.xml"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G29"/>
  <sheetViews>
    <sheetView tabSelected="1" view="pageBreakPreview" zoomScale="145" zoomScaleNormal="142" zoomScaleSheetLayoutView="145" workbookViewId="0">
      <selection activeCell="G7" sqref="G7"/>
    </sheetView>
  </sheetViews>
  <sheetFormatPr defaultRowHeight="13.5"/>
  <cols>
    <col min="1" max="1" width="10.5" customWidth="1"/>
    <col min="7" max="7" width="21.625" customWidth="1"/>
  </cols>
  <sheetData>
    <row r="1" spans="1:7" ht="33" customHeight="1">
      <c r="A1" s="1" t="s">
        <v>901</v>
      </c>
      <c r="B1" s="5" t="s">
        <v>386</v>
      </c>
      <c r="C1" s="5"/>
      <c r="D1" s="5"/>
      <c r="E1" s="5"/>
      <c r="F1" s="5"/>
      <c r="G1" s="12" t="s">
        <v>276</v>
      </c>
    </row>
    <row r="2" spans="1:7" ht="20.25" customHeight="1">
      <c r="A2" s="2">
        <v>1</v>
      </c>
      <c r="B2" s="6" t="s">
        <v>44</v>
      </c>
      <c r="C2" s="6"/>
      <c r="D2" s="6"/>
      <c r="E2" s="6"/>
      <c r="F2" s="6"/>
      <c r="G2" s="2"/>
    </row>
    <row r="3" spans="1:7" ht="20.25" customHeight="1">
      <c r="A3" s="2">
        <v>2</v>
      </c>
      <c r="B3" s="6" t="s">
        <v>561</v>
      </c>
      <c r="C3" s="6"/>
      <c r="D3" s="6"/>
      <c r="E3" s="6"/>
      <c r="F3" s="6"/>
      <c r="G3" s="2"/>
    </row>
    <row r="4" spans="1:7" ht="20.25" customHeight="1">
      <c r="A4" s="2">
        <v>3</v>
      </c>
      <c r="B4" s="6" t="s">
        <v>790</v>
      </c>
      <c r="C4" s="6"/>
      <c r="D4" s="6"/>
      <c r="E4" s="6"/>
      <c r="F4" s="6"/>
      <c r="G4" s="2"/>
    </row>
    <row r="5" spans="1:7" ht="20.25" customHeight="1">
      <c r="A5" s="2">
        <v>4</v>
      </c>
      <c r="B5" s="6" t="s">
        <v>791</v>
      </c>
      <c r="C5" s="6"/>
      <c r="D5" s="6"/>
      <c r="E5" s="6"/>
      <c r="F5" s="6"/>
      <c r="G5" s="2"/>
    </row>
    <row r="6" spans="1:7" ht="20.25" customHeight="1">
      <c r="A6" s="2">
        <v>5</v>
      </c>
      <c r="B6" s="6" t="s">
        <v>285</v>
      </c>
      <c r="C6" s="6"/>
      <c r="D6" s="6"/>
      <c r="E6" s="6"/>
      <c r="F6" s="6"/>
      <c r="G6" s="2"/>
    </row>
    <row r="7" spans="1:7" ht="20.25" customHeight="1">
      <c r="A7" s="2">
        <v>6</v>
      </c>
      <c r="B7" s="6" t="s">
        <v>500</v>
      </c>
      <c r="C7" s="6"/>
      <c r="D7" s="6"/>
      <c r="E7" s="6"/>
      <c r="F7" s="6"/>
      <c r="G7" s="2"/>
    </row>
    <row r="8" spans="1:7" ht="20.25" customHeight="1">
      <c r="A8" s="2">
        <v>7</v>
      </c>
      <c r="B8" s="6" t="s">
        <v>792</v>
      </c>
      <c r="C8" s="6"/>
      <c r="D8" s="6"/>
      <c r="E8" s="6"/>
      <c r="F8" s="6"/>
      <c r="G8" s="2"/>
    </row>
    <row r="9" spans="1:7" ht="20.25" customHeight="1">
      <c r="A9" s="2">
        <v>8</v>
      </c>
      <c r="B9" s="6" t="s">
        <v>793</v>
      </c>
      <c r="C9" s="6"/>
      <c r="D9" s="6"/>
      <c r="E9" s="6"/>
      <c r="F9" s="6"/>
      <c r="G9" s="2"/>
    </row>
    <row r="10" spans="1:7" ht="20.25" customHeight="1">
      <c r="A10" s="2">
        <v>9</v>
      </c>
      <c r="B10" s="6" t="s">
        <v>794</v>
      </c>
      <c r="C10" s="6"/>
      <c r="D10" s="6"/>
      <c r="E10" s="6"/>
      <c r="F10" s="6"/>
      <c r="G10" s="2"/>
    </row>
    <row r="11" spans="1:7" ht="20.25" customHeight="1">
      <c r="A11" s="2">
        <v>10</v>
      </c>
      <c r="B11" s="6" t="s">
        <v>472</v>
      </c>
      <c r="C11" s="6"/>
      <c r="D11" s="6"/>
      <c r="E11" s="6"/>
      <c r="F11" s="6"/>
      <c r="G11" s="2"/>
    </row>
    <row r="12" spans="1:7" ht="20.25" customHeight="1">
      <c r="A12" s="2">
        <v>11</v>
      </c>
      <c r="B12" s="6" t="s">
        <v>796</v>
      </c>
      <c r="C12" s="6"/>
      <c r="D12" s="6"/>
      <c r="E12" s="6"/>
      <c r="F12" s="6"/>
      <c r="G12" s="2"/>
    </row>
    <row r="13" spans="1:7" ht="20.25" customHeight="1">
      <c r="A13" s="2">
        <v>12</v>
      </c>
      <c r="B13" s="6" t="s">
        <v>798</v>
      </c>
      <c r="C13" s="6"/>
      <c r="D13" s="6"/>
      <c r="E13" s="6"/>
      <c r="F13" s="6"/>
      <c r="G13" s="2"/>
    </row>
    <row r="14" spans="1:7" ht="20.25" customHeight="1">
      <c r="A14" s="2">
        <v>13</v>
      </c>
      <c r="B14" s="6" t="s">
        <v>800</v>
      </c>
      <c r="C14" s="6"/>
      <c r="D14" s="6"/>
      <c r="E14" s="6"/>
      <c r="F14" s="6"/>
      <c r="G14" s="2"/>
    </row>
    <row r="15" spans="1:7" ht="20.25" customHeight="1">
      <c r="A15" s="2">
        <v>14</v>
      </c>
      <c r="B15" s="6" t="s">
        <v>296</v>
      </c>
      <c r="C15" s="6"/>
      <c r="D15" s="6"/>
      <c r="E15" s="6"/>
      <c r="F15" s="6"/>
      <c r="G15" s="2"/>
    </row>
    <row r="16" spans="1:7" ht="20.25" customHeight="1">
      <c r="A16" s="2">
        <v>15</v>
      </c>
      <c r="B16" s="6" t="s">
        <v>54</v>
      </c>
      <c r="C16" s="6"/>
      <c r="D16" s="6"/>
      <c r="E16" s="6"/>
      <c r="F16" s="6"/>
      <c r="G16" s="2"/>
    </row>
    <row r="17" spans="1:7" ht="20.25" customHeight="1">
      <c r="A17" s="3" t="s">
        <v>902</v>
      </c>
      <c r="B17" s="7" t="s">
        <v>563</v>
      </c>
      <c r="C17" s="10"/>
      <c r="D17" s="10"/>
      <c r="E17" s="10"/>
      <c r="F17" s="11"/>
      <c r="G17" s="8" t="s">
        <v>641</v>
      </c>
    </row>
    <row r="18" spans="1:7" ht="20.25" customHeight="1">
      <c r="A18" s="4" t="s">
        <v>519</v>
      </c>
      <c r="B18" s="8" t="s">
        <v>557</v>
      </c>
      <c r="C18" s="8"/>
      <c r="D18" s="8"/>
      <c r="E18" s="8"/>
      <c r="F18" s="8"/>
      <c r="G18" s="8" t="s">
        <v>31</v>
      </c>
    </row>
    <row r="19" spans="1:7" ht="20.25" customHeight="1">
      <c r="A19" s="4" t="s">
        <v>797</v>
      </c>
      <c r="B19" s="9" t="s">
        <v>307</v>
      </c>
      <c r="C19" s="9"/>
      <c r="D19" s="9"/>
      <c r="E19" s="9"/>
      <c r="F19" s="9"/>
      <c r="G19" s="8" t="s">
        <v>395</v>
      </c>
    </row>
    <row r="20" spans="1:7" ht="20.25" customHeight="1">
      <c r="A20" s="4" t="s">
        <v>671</v>
      </c>
      <c r="B20" s="9" t="s">
        <v>903</v>
      </c>
      <c r="C20" s="9"/>
      <c r="D20" s="9"/>
      <c r="E20" s="9"/>
      <c r="F20" s="9"/>
      <c r="G20" s="8" t="s">
        <v>5</v>
      </c>
    </row>
    <row r="21" spans="1:7" ht="20.25" customHeight="1">
      <c r="A21" s="4" t="s">
        <v>905</v>
      </c>
      <c r="B21" s="9" t="s">
        <v>907</v>
      </c>
      <c r="C21" s="9"/>
      <c r="D21" s="9"/>
      <c r="E21" s="9"/>
      <c r="F21" s="9"/>
      <c r="G21" s="8" t="s">
        <v>910</v>
      </c>
    </row>
    <row r="22" spans="1:7" ht="20.25" customHeight="1">
      <c r="A22" s="4" t="s">
        <v>911</v>
      </c>
      <c r="B22" s="9" t="s">
        <v>912</v>
      </c>
      <c r="C22" s="9"/>
      <c r="D22" s="9"/>
      <c r="E22" s="9"/>
      <c r="F22" s="9"/>
      <c r="G22" s="8" t="s">
        <v>682</v>
      </c>
    </row>
    <row r="23" spans="1:7" ht="20.25" customHeight="1">
      <c r="A23" s="4" t="s">
        <v>408</v>
      </c>
      <c r="B23" s="9" t="s">
        <v>913</v>
      </c>
      <c r="C23" s="9"/>
      <c r="D23" s="9"/>
      <c r="E23" s="9"/>
      <c r="F23" s="9"/>
      <c r="G23" s="8" t="s">
        <v>537</v>
      </c>
    </row>
    <row r="24" spans="1:7" ht="20.25" customHeight="1">
      <c r="A24" s="4" t="s">
        <v>914</v>
      </c>
      <c r="B24" s="9" t="s">
        <v>353</v>
      </c>
      <c r="C24" s="9"/>
      <c r="D24" s="9"/>
      <c r="E24" s="9"/>
      <c r="F24" s="9"/>
      <c r="G24" s="8" t="s">
        <v>916</v>
      </c>
    </row>
    <row r="25" spans="1:7" ht="20.25" customHeight="1">
      <c r="A25" s="4" t="s">
        <v>917</v>
      </c>
      <c r="B25" s="9" t="s">
        <v>920</v>
      </c>
      <c r="C25" s="9"/>
      <c r="D25" s="9"/>
      <c r="E25" s="9"/>
      <c r="F25" s="9"/>
      <c r="G25" s="8" t="s">
        <v>921</v>
      </c>
    </row>
    <row r="26" spans="1:7" ht="20.25" customHeight="1">
      <c r="A26" s="4" t="s">
        <v>923</v>
      </c>
      <c r="B26" s="7" t="s">
        <v>924</v>
      </c>
      <c r="C26" s="10"/>
      <c r="D26" s="10"/>
      <c r="E26" s="10"/>
      <c r="F26" s="11"/>
      <c r="G26" s="8" t="s">
        <v>253</v>
      </c>
    </row>
    <row r="27" spans="1:7" ht="20.25" customHeight="1">
      <c r="A27" s="4" t="s">
        <v>326</v>
      </c>
      <c r="B27" s="7" t="s">
        <v>96</v>
      </c>
      <c r="C27" s="10"/>
      <c r="D27" s="10"/>
      <c r="E27" s="10"/>
      <c r="F27" s="11"/>
      <c r="G27" s="8" t="s">
        <v>245</v>
      </c>
    </row>
    <row r="28" spans="1:7" ht="20.25" customHeight="1">
      <c r="A28" s="4" t="s">
        <v>925</v>
      </c>
      <c r="B28" s="7" t="s">
        <v>568</v>
      </c>
      <c r="C28" s="10"/>
      <c r="D28" s="10"/>
      <c r="E28" s="10"/>
      <c r="F28" s="11"/>
      <c r="G28" s="8" t="s">
        <v>239</v>
      </c>
    </row>
    <row r="29" spans="1:7" ht="20.25" customHeight="1">
      <c r="A29" s="4" t="s">
        <v>927</v>
      </c>
      <c r="B29" s="8" t="s">
        <v>13</v>
      </c>
      <c r="C29" s="8"/>
      <c r="D29" s="8"/>
      <c r="E29" s="8"/>
      <c r="F29" s="8"/>
      <c r="G29" s="8" t="s">
        <v>765</v>
      </c>
    </row>
  </sheetData>
  <mergeCells count="29">
    <mergeCell ref="B1:F1"/>
    <mergeCell ref="B2:F2"/>
    <mergeCell ref="B3:F3"/>
    <mergeCell ref="B4:F4"/>
    <mergeCell ref="B5:F5"/>
    <mergeCell ref="B6:F6"/>
    <mergeCell ref="B7:F7"/>
    <mergeCell ref="B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B28:F28"/>
    <mergeCell ref="B29:F29"/>
  </mergeCells>
  <phoneticPr fontId="1"/>
  <pageMargins left="0.7" right="0.7" top="0.75" bottom="0.75" header="0.3" footer="0.3"/>
  <pageSetup paperSize="9" scale="90" fitToWidth="1" fitToHeight="1" orientation="landscape" usePrinterDefaults="1"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A1:L110"/>
  <sheetViews>
    <sheetView showGridLines="0" view="pageBreakPreview" zoomScaleSheetLayoutView="100" workbookViewId="0">
      <selection activeCell="D106" sqref="D106"/>
    </sheetView>
  </sheetViews>
  <sheetFormatPr defaultRowHeight="13.5"/>
  <cols>
    <col min="1" max="1" width="11.875" customWidth="1"/>
  </cols>
  <sheetData>
    <row r="1" spans="1:12">
      <c r="A1" s="44" t="s">
        <v>167</v>
      </c>
      <c r="L1" s="317" t="s">
        <v>738</v>
      </c>
    </row>
    <row r="2" spans="1:12" ht="23.25" customHeight="1">
      <c r="A2" s="247" t="s">
        <v>891</v>
      </c>
      <c r="B2" s="247"/>
      <c r="C2" s="247"/>
      <c r="D2" s="247"/>
      <c r="E2" s="247"/>
      <c r="F2" s="247"/>
      <c r="G2" s="247"/>
      <c r="H2" s="247"/>
      <c r="I2" s="247"/>
      <c r="J2" s="247"/>
      <c r="K2" s="247"/>
    </row>
    <row r="3" spans="1:12" ht="23.25" customHeight="1">
      <c r="A3" s="267" t="s">
        <v>572</v>
      </c>
      <c r="B3" s="284"/>
      <c r="C3" s="284"/>
      <c r="D3" s="284"/>
      <c r="E3" s="284"/>
      <c r="F3" s="284"/>
      <c r="G3" s="284"/>
      <c r="H3" s="284"/>
      <c r="I3" s="284"/>
      <c r="J3" s="284"/>
      <c r="K3" s="301"/>
    </row>
    <row r="4" spans="1:12" ht="23.25" customHeight="1">
      <c r="A4" s="268" t="s">
        <v>380</v>
      </c>
      <c r="B4" s="285"/>
      <c r="C4" s="285"/>
      <c r="D4" s="285"/>
      <c r="E4" s="285"/>
      <c r="F4" s="297" t="s">
        <v>257</v>
      </c>
      <c r="G4" s="285"/>
      <c r="H4" s="285"/>
      <c r="I4" s="297" t="s">
        <v>578</v>
      </c>
      <c r="J4" s="285"/>
      <c r="K4" s="302"/>
    </row>
    <row r="5" spans="1:12" ht="23.25" customHeight="1">
      <c r="A5" s="269" t="s">
        <v>574</v>
      </c>
      <c r="B5" s="44"/>
      <c r="C5" s="44"/>
      <c r="D5" s="44"/>
      <c r="E5" s="44"/>
      <c r="F5" s="44"/>
      <c r="G5" s="44"/>
      <c r="H5" s="44"/>
      <c r="I5" s="44"/>
      <c r="J5" s="44"/>
      <c r="K5" s="303"/>
    </row>
    <row r="6" spans="1:12" ht="23.25" customHeight="1">
      <c r="A6" s="270" t="s">
        <v>117</v>
      </c>
      <c r="B6" s="286"/>
      <c r="C6" s="286"/>
      <c r="D6" s="286"/>
      <c r="E6" s="286"/>
      <c r="F6" s="286"/>
      <c r="G6" s="286"/>
      <c r="H6" s="286"/>
      <c r="I6" s="286"/>
      <c r="J6" s="286"/>
      <c r="K6" s="304"/>
    </row>
    <row r="7" spans="1:12" ht="23.25" customHeight="1">
      <c r="A7" s="270" t="s">
        <v>576</v>
      </c>
      <c r="B7" s="287"/>
      <c r="C7" s="287"/>
      <c r="D7" s="287"/>
      <c r="E7" s="287"/>
      <c r="F7" s="287"/>
      <c r="G7" s="287"/>
      <c r="H7" s="287"/>
      <c r="I7" s="287"/>
      <c r="J7" s="287"/>
      <c r="K7" s="304"/>
    </row>
    <row r="8" spans="1:12" ht="23.25" customHeight="1">
      <c r="A8" s="270" t="s">
        <v>176</v>
      </c>
      <c r="B8" s="286"/>
      <c r="C8" s="286"/>
      <c r="D8" s="286"/>
      <c r="E8" s="286"/>
      <c r="F8" s="286"/>
      <c r="G8" s="286"/>
      <c r="H8" s="286"/>
      <c r="I8" s="286"/>
      <c r="J8" s="286"/>
      <c r="K8" s="304"/>
    </row>
    <row r="9" spans="1:12" ht="23.25" customHeight="1">
      <c r="A9" s="269" t="s">
        <v>577</v>
      </c>
      <c r="K9" s="305"/>
    </row>
    <row r="10" spans="1:12" ht="23.25" customHeight="1">
      <c r="A10" s="271"/>
      <c r="B10" s="288"/>
      <c r="C10" s="288"/>
      <c r="D10" s="288"/>
      <c r="E10" s="288"/>
      <c r="F10" s="288"/>
      <c r="G10" s="288"/>
      <c r="H10" s="288"/>
      <c r="I10" s="288"/>
      <c r="J10" s="288"/>
      <c r="K10" s="306"/>
    </row>
    <row r="11" spans="1:12" ht="23.25" customHeight="1">
      <c r="A11" s="44"/>
    </row>
    <row r="12" spans="1:12" ht="23.25" customHeight="1">
      <c r="A12" s="267" t="s">
        <v>158</v>
      </c>
      <c r="B12" s="284"/>
      <c r="C12" s="284"/>
      <c r="D12" s="284"/>
      <c r="E12" s="284"/>
      <c r="F12" s="284"/>
      <c r="G12" s="284"/>
      <c r="H12" s="284"/>
      <c r="I12" s="284"/>
      <c r="J12" s="284"/>
      <c r="K12" s="301"/>
    </row>
    <row r="13" spans="1:12" ht="23.25" customHeight="1">
      <c r="A13" s="268" t="s">
        <v>380</v>
      </c>
      <c r="B13" s="285"/>
      <c r="C13" s="285"/>
      <c r="D13" s="285"/>
      <c r="E13" s="285"/>
      <c r="F13" s="297" t="s">
        <v>257</v>
      </c>
      <c r="G13" s="285"/>
      <c r="H13" s="299"/>
      <c r="I13" s="285" t="s">
        <v>578</v>
      </c>
      <c r="J13" s="285"/>
      <c r="K13" s="302"/>
    </row>
    <row r="14" spans="1:12" ht="23.25" customHeight="1">
      <c r="A14" s="269" t="s">
        <v>597</v>
      </c>
      <c r="K14" s="305"/>
    </row>
    <row r="15" spans="1:12" ht="23.25" customHeight="1">
      <c r="A15" s="272" t="s">
        <v>585</v>
      </c>
      <c r="B15" s="289" t="s">
        <v>213</v>
      </c>
      <c r="C15" s="290" t="s">
        <v>113</v>
      </c>
      <c r="D15" s="290" t="s">
        <v>321</v>
      </c>
      <c r="E15" s="253" t="s">
        <v>317</v>
      </c>
      <c r="F15" s="253"/>
      <c r="G15" s="253"/>
      <c r="H15" s="253"/>
      <c r="I15" s="253"/>
      <c r="J15" s="253"/>
      <c r="K15" s="307"/>
    </row>
    <row r="16" spans="1:12" ht="23.25" customHeight="1">
      <c r="A16" s="272" t="s">
        <v>211</v>
      </c>
      <c r="B16" s="239"/>
      <c r="C16" s="239"/>
      <c r="D16" s="239"/>
      <c r="E16" s="72"/>
      <c r="F16" s="72"/>
      <c r="G16" s="72"/>
      <c r="H16" s="72"/>
      <c r="I16" s="72"/>
      <c r="J16" s="72"/>
      <c r="K16" s="82"/>
    </row>
    <row r="17" spans="1:11" ht="23.25" customHeight="1">
      <c r="A17" s="272" t="s">
        <v>95</v>
      </c>
      <c r="B17" s="239"/>
      <c r="C17" s="239"/>
      <c r="D17" s="239"/>
      <c r="E17" s="72"/>
      <c r="F17" s="72"/>
      <c r="G17" s="72"/>
      <c r="H17" s="72"/>
      <c r="I17" s="72"/>
      <c r="J17" s="72"/>
      <c r="K17" s="82"/>
    </row>
    <row r="18" spans="1:11" ht="23.25" customHeight="1">
      <c r="A18" s="272" t="s">
        <v>205</v>
      </c>
      <c r="B18" s="239"/>
      <c r="C18" s="239"/>
      <c r="D18" s="239"/>
      <c r="E18" s="72"/>
      <c r="F18" s="72"/>
      <c r="G18" s="72"/>
      <c r="H18" s="72"/>
      <c r="I18" s="72"/>
      <c r="J18" s="72"/>
      <c r="K18" s="82"/>
    </row>
    <row r="19" spans="1:11" ht="23.25" customHeight="1">
      <c r="A19" s="272" t="s">
        <v>588</v>
      </c>
      <c r="B19" s="239"/>
      <c r="C19" s="239"/>
      <c r="D19" s="239"/>
      <c r="E19" s="72"/>
      <c r="F19" s="72"/>
      <c r="G19" s="72"/>
      <c r="H19" s="72"/>
      <c r="I19" s="72"/>
      <c r="J19" s="72"/>
      <c r="K19" s="82"/>
    </row>
    <row r="20" spans="1:11" ht="23.25" customHeight="1">
      <c r="A20" s="272" t="s">
        <v>592</v>
      </c>
      <c r="B20" s="239"/>
      <c r="C20" s="239"/>
      <c r="D20" s="239"/>
      <c r="E20" s="72"/>
      <c r="F20" s="72"/>
      <c r="G20" s="72"/>
      <c r="H20" s="72"/>
      <c r="I20" s="72"/>
      <c r="J20" s="72"/>
      <c r="K20" s="82"/>
    </row>
    <row r="21" spans="1:11" ht="23.25" customHeight="1">
      <c r="A21" s="272" t="s">
        <v>575</v>
      </c>
      <c r="B21" s="239"/>
      <c r="C21" s="239"/>
      <c r="D21" s="239"/>
      <c r="E21" s="72"/>
      <c r="F21" s="72"/>
      <c r="G21" s="72"/>
      <c r="H21" s="72"/>
      <c r="I21" s="72"/>
      <c r="J21" s="72"/>
      <c r="K21" s="82"/>
    </row>
    <row r="22" spans="1:11" ht="23.25" customHeight="1">
      <c r="A22" s="272" t="s">
        <v>595</v>
      </c>
      <c r="B22" s="239"/>
      <c r="C22" s="239"/>
      <c r="D22" s="239"/>
      <c r="E22" s="72"/>
      <c r="F22" s="72"/>
      <c r="G22" s="72"/>
      <c r="H22" s="72"/>
      <c r="I22" s="72"/>
      <c r="J22" s="72"/>
      <c r="K22" s="82"/>
    </row>
    <row r="23" spans="1:11" ht="23.25" customHeight="1">
      <c r="A23" s="273"/>
      <c r="B23" s="239"/>
      <c r="C23" s="239"/>
      <c r="D23" s="239"/>
      <c r="E23" s="72"/>
      <c r="F23" s="72"/>
      <c r="G23" s="72"/>
      <c r="H23" s="72"/>
      <c r="I23" s="72"/>
      <c r="J23" s="72"/>
      <c r="K23" s="82"/>
    </row>
    <row r="24" spans="1:11" ht="23.25" customHeight="1">
      <c r="A24" s="274" t="s">
        <v>43</v>
      </c>
      <c r="B24" s="13"/>
      <c r="C24" s="13"/>
      <c r="D24" s="13"/>
      <c r="E24" s="13"/>
      <c r="F24" s="13"/>
      <c r="G24" s="13"/>
      <c r="H24" s="13"/>
      <c r="I24" s="13"/>
      <c r="J24" s="13"/>
      <c r="K24" s="308"/>
    </row>
    <row r="25" spans="1:11" ht="23.25" customHeight="1">
      <c r="A25" s="272" t="s">
        <v>88</v>
      </c>
      <c r="B25" s="239" t="s">
        <v>598</v>
      </c>
      <c r="C25" s="239" t="s">
        <v>399</v>
      </c>
      <c r="D25" s="239" t="s">
        <v>601</v>
      </c>
      <c r="E25" s="239" t="s">
        <v>607</v>
      </c>
      <c r="F25" s="239"/>
      <c r="G25" s="239"/>
      <c r="H25" s="239"/>
      <c r="I25" s="239"/>
      <c r="J25" s="239"/>
      <c r="K25" s="309"/>
    </row>
    <row r="26" spans="1:11" ht="23.25" customHeight="1">
      <c r="A26" s="272" t="s">
        <v>603</v>
      </c>
      <c r="B26" s="239"/>
      <c r="C26" s="239"/>
      <c r="D26" s="239"/>
      <c r="E26" s="239"/>
      <c r="F26" s="239"/>
      <c r="G26" s="239"/>
      <c r="H26" s="239"/>
      <c r="I26" s="239"/>
      <c r="J26" s="239"/>
      <c r="K26" s="309"/>
    </row>
    <row r="27" spans="1:11" ht="23.25" customHeight="1">
      <c r="A27" s="272" t="s">
        <v>136</v>
      </c>
      <c r="B27" s="290" t="s">
        <v>378</v>
      </c>
      <c r="C27" s="290" t="s">
        <v>378</v>
      </c>
      <c r="D27" s="290" t="s">
        <v>378</v>
      </c>
      <c r="E27" s="290" t="s">
        <v>378</v>
      </c>
      <c r="F27" s="290" t="s">
        <v>378</v>
      </c>
      <c r="G27" s="290" t="s">
        <v>378</v>
      </c>
      <c r="H27" s="290" t="s">
        <v>378</v>
      </c>
      <c r="I27" s="290" t="s">
        <v>378</v>
      </c>
      <c r="J27" s="290" t="s">
        <v>378</v>
      </c>
      <c r="K27" s="310" t="s">
        <v>378</v>
      </c>
    </row>
    <row r="28" spans="1:11" ht="23.25" customHeight="1">
      <c r="A28" s="272" t="s">
        <v>130</v>
      </c>
      <c r="B28" s="290" t="s">
        <v>378</v>
      </c>
      <c r="C28" s="290" t="s">
        <v>378</v>
      </c>
      <c r="D28" s="290" t="s">
        <v>378</v>
      </c>
      <c r="E28" s="290" t="s">
        <v>378</v>
      </c>
      <c r="F28" s="290" t="s">
        <v>378</v>
      </c>
      <c r="G28" s="290" t="s">
        <v>378</v>
      </c>
      <c r="H28" s="290" t="s">
        <v>378</v>
      </c>
      <c r="I28" s="290" t="s">
        <v>378</v>
      </c>
      <c r="J28" s="290" t="s">
        <v>378</v>
      </c>
      <c r="K28" s="310" t="s">
        <v>378</v>
      </c>
    </row>
    <row r="29" spans="1:11" ht="23.25" customHeight="1">
      <c r="A29" s="269" t="s">
        <v>523</v>
      </c>
      <c r="B29" s="44"/>
      <c r="C29" s="44"/>
      <c r="D29" s="44"/>
      <c r="E29" s="44"/>
      <c r="F29" s="44" t="s">
        <v>581</v>
      </c>
      <c r="G29" s="44"/>
      <c r="H29" s="44"/>
      <c r="I29" s="44"/>
      <c r="J29" s="44"/>
      <c r="K29" s="303"/>
    </row>
    <row r="30" spans="1:11" ht="23.25" customHeight="1">
      <c r="A30" s="272" t="s">
        <v>164</v>
      </c>
      <c r="B30" s="253" t="s">
        <v>605</v>
      </c>
      <c r="C30" s="294" t="s">
        <v>582</v>
      </c>
      <c r="D30" s="295"/>
      <c r="E30" s="44"/>
      <c r="F30" s="253" t="s">
        <v>611</v>
      </c>
      <c r="G30" s="253" t="s">
        <v>612</v>
      </c>
      <c r="H30" s="253" t="s">
        <v>619</v>
      </c>
      <c r="I30" s="253"/>
      <c r="J30" s="253"/>
      <c r="K30" s="307"/>
    </row>
    <row r="31" spans="1:11" ht="23.25" customHeight="1">
      <c r="A31" s="272" t="s">
        <v>608</v>
      </c>
      <c r="B31" s="290" t="s">
        <v>604</v>
      </c>
      <c r="C31" s="294"/>
      <c r="D31" s="295"/>
      <c r="E31" s="44"/>
      <c r="F31" s="290" t="s">
        <v>613</v>
      </c>
      <c r="G31" s="290" t="s">
        <v>604</v>
      </c>
      <c r="H31" s="253"/>
      <c r="I31" s="253"/>
      <c r="J31" s="253"/>
      <c r="K31" s="307"/>
    </row>
    <row r="32" spans="1:11" ht="23.25" customHeight="1">
      <c r="A32" s="272" t="s">
        <v>298</v>
      </c>
      <c r="B32" s="290" t="s">
        <v>604</v>
      </c>
      <c r="C32" s="294"/>
      <c r="D32" s="295"/>
      <c r="E32" s="44"/>
      <c r="F32" s="290" t="s">
        <v>615</v>
      </c>
      <c r="G32" s="290" t="s">
        <v>604</v>
      </c>
      <c r="H32" s="253"/>
      <c r="I32" s="253"/>
      <c r="J32" s="253"/>
      <c r="K32" s="307"/>
    </row>
    <row r="33" spans="1:11" ht="23.25" customHeight="1">
      <c r="A33" s="272" t="s">
        <v>610</v>
      </c>
      <c r="B33" s="290" t="s">
        <v>604</v>
      </c>
      <c r="C33" s="294"/>
      <c r="D33" s="295"/>
      <c r="E33" s="44"/>
      <c r="F33" s="290" t="s">
        <v>51</v>
      </c>
      <c r="G33" s="290" t="s">
        <v>604</v>
      </c>
      <c r="H33" s="253"/>
      <c r="I33" s="253"/>
      <c r="J33" s="253"/>
      <c r="K33" s="307"/>
    </row>
    <row r="34" spans="1:11" ht="23.25" customHeight="1">
      <c r="A34" s="272" t="s">
        <v>457</v>
      </c>
      <c r="B34" s="290" t="s">
        <v>604</v>
      </c>
      <c r="C34" s="294"/>
      <c r="D34" s="295"/>
      <c r="E34" s="44"/>
      <c r="F34" s="290" t="s">
        <v>562</v>
      </c>
      <c r="G34" s="290" t="s">
        <v>604</v>
      </c>
      <c r="H34" s="250" t="s">
        <v>3</v>
      </c>
      <c r="I34" s="250"/>
      <c r="J34" s="250"/>
      <c r="K34" s="311"/>
    </row>
    <row r="35" spans="1:11" ht="23.25" customHeight="1">
      <c r="A35" s="272" t="s">
        <v>187</v>
      </c>
      <c r="B35" s="290" t="s">
        <v>604</v>
      </c>
      <c r="C35" s="294"/>
      <c r="D35" s="295"/>
      <c r="E35" s="44"/>
      <c r="F35" s="290"/>
      <c r="G35" s="290" t="s">
        <v>604</v>
      </c>
      <c r="H35" s="253"/>
      <c r="I35" s="253"/>
      <c r="J35" s="253"/>
      <c r="K35" s="307"/>
    </row>
    <row r="36" spans="1:11" ht="23.25" customHeight="1">
      <c r="A36" s="272"/>
      <c r="B36" s="290" t="s">
        <v>604</v>
      </c>
      <c r="C36" s="294"/>
      <c r="D36" s="295"/>
      <c r="E36" s="44"/>
      <c r="F36" s="290"/>
      <c r="G36" s="290" t="s">
        <v>604</v>
      </c>
      <c r="H36" s="253"/>
      <c r="I36" s="253"/>
      <c r="J36" s="253"/>
      <c r="K36" s="307"/>
    </row>
    <row r="37" spans="1:11" ht="23.25" customHeight="1">
      <c r="A37" s="269" t="s">
        <v>644</v>
      </c>
      <c r="B37" s="44"/>
      <c r="C37" s="252"/>
      <c r="D37" s="252"/>
      <c r="E37" s="44"/>
      <c r="F37" s="44"/>
      <c r="G37" s="44"/>
      <c r="H37" s="252"/>
      <c r="I37" s="252"/>
      <c r="J37" s="252"/>
      <c r="K37" s="312"/>
    </row>
    <row r="38" spans="1:11" ht="23.25" customHeight="1">
      <c r="A38" s="256" t="s">
        <v>658</v>
      </c>
      <c r="B38" s="253" t="s">
        <v>168</v>
      </c>
      <c r="C38" s="253"/>
      <c r="D38" s="253"/>
      <c r="E38" s="253"/>
      <c r="F38" s="253" t="s">
        <v>498</v>
      </c>
      <c r="G38" s="253"/>
      <c r="H38" s="253"/>
      <c r="I38" s="253" t="s">
        <v>276</v>
      </c>
      <c r="J38" s="253"/>
      <c r="K38" s="307"/>
    </row>
    <row r="39" spans="1:11" ht="23.25" customHeight="1">
      <c r="A39" s="272"/>
      <c r="B39" s="253"/>
      <c r="C39" s="253"/>
      <c r="D39" s="253"/>
      <c r="E39" s="253"/>
      <c r="F39" s="253"/>
      <c r="G39" s="253"/>
      <c r="H39" s="253"/>
      <c r="I39" s="253"/>
      <c r="J39" s="253"/>
      <c r="K39" s="307"/>
    </row>
    <row r="40" spans="1:11" ht="23.25" customHeight="1">
      <c r="A40" s="272"/>
      <c r="B40" s="253"/>
      <c r="C40" s="253"/>
      <c r="D40" s="253"/>
      <c r="E40" s="253"/>
      <c r="F40" s="253"/>
      <c r="G40" s="253"/>
      <c r="H40" s="253"/>
      <c r="I40" s="253"/>
      <c r="J40" s="253"/>
      <c r="K40" s="307"/>
    </row>
    <row r="41" spans="1:11" ht="23.25" customHeight="1">
      <c r="A41" s="269" t="s">
        <v>266</v>
      </c>
      <c r="B41" s="44"/>
      <c r="C41" s="252"/>
      <c r="D41" s="252"/>
      <c r="E41" s="44"/>
      <c r="F41" s="44"/>
      <c r="G41" s="44"/>
      <c r="H41" s="252"/>
      <c r="I41" s="252"/>
      <c r="J41" s="252"/>
      <c r="K41" s="312"/>
    </row>
    <row r="42" spans="1:11" ht="23.25" customHeight="1">
      <c r="A42" s="256" t="s">
        <v>462</v>
      </c>
      <c r="B42" s="253" t="s">
        <v>168</v>
      </c>
      <c r="C42" s="253"/>
      <c r="D42" s="253"/>
      <c r="E42" s="253"/>
      <c r="F42" s="253" t="s">
        <v>716</v>
      </c>
      <c r="G42" s="253"/>
      <c r="H42" s="253"/>
      <c r="I42" s="253" t="s">
        <v>276</v>
      </c>
      <c r="J42" s="253"/>
      <c r="K42" s="307"/>
    </row>
    <row r="43" spans="1:11" ht="23.25" customHeight="1">
      <c r="A43" s="272"/>
      <c r="B43" s="253"/>
      <c r="C43" s="253"/>
      <c r="D43" s="253"/>
      <c r="E43" s="253"/>
      <c r="F43" s="253"/>
      <c r="G43" s="253"/>
      <c r="H43" s="253"/>
      <c r="I43" s="253"/>
      <c r="J43" s="253"/>
      <c r="K43" s="307"/>
    </row>
    <row r="44" spans="1:11" ht="23.25" customHeight="1">
      <c r="A44" s="272"/>
      <c r="B44" s="253"/>
      <c r="C44" s="253"/>
      <c r="D44" s="253"/>
      <c r="E44" s="253"/>
      <c r="F44" s="253"/>
      <c r="G44" s="253"/>
      <c r="H44" s="253"/>
      <c r="I44" s="253"/>
      <c r="J44" s="253"/>
      <c r="K44" s="307"/>
    </row>
    <row r="45" spans="1:11" ht="23.25" customHeight="1">
      <c r="A45" s="275" t="s">
        <v>643</v>
      </c>
      <c r="B45" s="291"/>
      <c r="C45" s="291"/>
      <c r="D45" s="291"/>
      <c r="E45" s="291"/>
      <c r="F45" s="291"/>
      <c r="G45" s="291"/>
      <c r="H45" s="291"/>
      <c r="I45" s="291"/>
      <c r="J45" s="291"/>
      <c r="K45" s="313"/>
    </row>
    <row r="46" spans="1:11" ht="23.25" customHeight="1">
      <c r="A46" s="276"/>
      <c r="B46" s="292"/>
      <c r="C46" s="292"/>
      <c r="D46" s="292"/>
      <c r="E46" s="292"/>
      <c r="F46" s="292"/>
      <c r="G46" s="292"/>
      <c r="H46" s="292"/>
      <c r="I46" s="292"/>
      <c r="J46" s="292"/>
      <c r="K46" s="314"/>
    </row>
    <row r="47" spans="1:11" ht="23.25" customHeight="1">
      <c r="A47" s="252"/>
      <c r="B47" s="252"/>
      <c r="C47" s="252"/>
      <c r="D47" s="252"/>
      <c r="E47" s="252"/>
      <c r="F47" s="252"/>
      <c r="G47" s="252"/>
      <c r="H47" s="252"/>
      <c r="I47" s="252"/>
      <c r="J47" s="252"/>
      <c r="K47" s="252"/>
    </row>
    <row r="48" spans="1:11" ht="23.25" customHeight="1">
      <c r="A48" s="277" t="s">
        <v>632</v>
      </c>
      <c r="B48" s="194"/>
      <c r="C48" s="194"/>
      <c r="D48" s="194"/>
      <c r="E48" s="194"/>
      <c r="F48" s="194"/>
      <c r="G48" s="194"/>
      <c r="H48" s="194"/>
      <c r="I48" s="194"/>
      <c r="J48" s="194"/>
      <c r="K48" s="315"/>
    </row>
    <row r="49" spans="1:12" ht="23.25" customHeight="1">
      <c r="A49" s="278" t="s">
        <v>380</v>
      </c>
      <c r="B49" s="293"/>
      <c r="C49" s="293"/>
      <c r="D49" s="293"/>
      <c r="E49" s="293"/>
      <c r="F49" s="298" t="s">
        <v>257</v>
      </c>
      <c r="G49" s="293"/>
      <c r="H49" s="300"/>
      <c r="I49" s="293" t="s">
        <v>578</v>
      </c>
      <c r="J49" s="293"/>
      <c r="K49" s="316"/>
    </row>
    <row r="50" spans="1:12" ht="23.25" customHeight="1">
      <c r="A50" s="269" t="s">
        <v>624</v>
      </c>
      <c r="B50" s="44"/>
      <c r="C50" s="44"/>
      <c r="D50" s="44"/>
      <c r="E50" s="44"/>
      <c r="F50" s="44"/>
      <c r="G50" s="44"/>
      <c r="H50" s="44"/>
      <c r="I50" s="44"/>
      <c r="J50" s="44"/>
      <c r="K50" s="303"/>
    </row>
    <row r="51" spans="1:12" ht="23.25" customHeight="1">
      <c r="A51" s="272" t="s">
        <v>406</v>
      </c>
      <c r="B51" s="290" t="s">
        <v>0</v>
      </c>
      <c r="C51" s="294" t="s">
        <v>144</v>
      </c>
      <c r="D51" s="295"/>
      <c r="E51" s="290" t="s">
        <v>501</v>
      </c>
      <c r="F51" s="290"/>
      <c r="G51" s="253" t="s">
        <v>317</v>
      </c>
      <c r="H51" s="253"/>
      <c r="I51" s="253"/>
      <c r="J51" s="253"/>
      <c r="K51" s="307"/>
      <c r="L51" s="44"/>
    </row>
    <row r="52" spans="1:12" ht="23.25" customHeight="1">
      <c r="A52" s="272"/>
      <c r="B52" s="290"/>
      <c r="C52" s="294"/>
      <c r="D52" s="295"/>
      <c r="E52" s="253"/>
      <c r="F52" s="253"/>
      <c r="G52" s="253"/>
      <c r="H52" s="253"/>
      <c r="I52" s="253"/>
      <c r="J52" s="253"/>
      <c r="K52" s="307"/>
      <c r="L52" s="44"/>
    </row>
    <row r="53" spans="1:12" ht="23.25" customHeight="1">
      <c r="A53" s="272"/>
      <c r="B53" s="290"/>
      <c r="C53" s="294"/>
      <c r="D53" s="295"/>
      <c r="E53" s="253"/>
      <c r="F53" s="253"/>
      <c r="G53" s="253"/>
      <c r="H53" s="253"/>
      <c r="I53" s="253"/>
      <c r="J53" s="253"/>
      <c r="K53" s="307"/>
      <c r="L53" s="44"/>
    </row>
    <row r="54" spans="1:12" ht="23.25" customHeight="1">
      <c r="A54" s="272"/>
      <c r="B54" s="290"/>
      <c r="C54" s="294"/>
      <c r="D54" s="295"/>
      <c r="E54" s="253"/>
      <c r="F54" s="253"/>
      <c r="G54" s="253"/>
      <c r="H54" s="253"/>
      <c r="I54" s="253"/>
      <c r="J54" s="253"/>
      <c r="K54" s="307"/>
      <c r="L54" s="44"/>
    </row>
    <row r="55" spans="1:12" ht="23.25" customHeight="1">
      <c r="A55" s="272"/>
      <c r="B55" s="290"/>
      <c r="C55" s="294"/>
      <c r="D55" s="295"/>
      <c r="E55" s="253"/>
      <c r="F55" s="253"/>
      <c r="G55" s="253"/>
      <c r="H55" s="253"/>
      <c r="I55" s="253"/>
      <c r="J55" s="253"/>
      <c r="K55" s="307"/>
      <c r="L55" s="44"/>
    </row>
    <row r="56" spans="1:12" ht="23.25" customHeight="1">
      <c r="A56" s="272"/>
      <c r="B56" s="290"/>
      <c r="C56" s="294"/>
      <c r="D56" s="295"/>
      <c r="E56" s="253"/>
      <c r="F56" s="253"/>
      <c r="G56" s="253"/>
      <c r="H56" s="253"/>
      <c r="I56" s="253"/>
      <c r="J56" s="253"/>
      <c r="K56" s="307"/>
      <c r="L56" s="44"/>
    </row>
    <row r="57" spans="1:12" ht="23.25" customHeight="1">
      <c r="A57" s="272"/>
      <c r="B57" s="290"/>
      <c r="C57" s="294"/>
      <c r="D57" s="295"/>
      <c r="E57" s="253"/>
      <c r="F57" s="253"/>
      <c r="G57" s="253"/>
      <c r="H57" s="253"/>
      <c r="I57" s="253"/>
      <c r="J57" s="253"/>
      <c r="K57" s="307"/>
      <c r="L57" s="44"/>
    </row>
    <row r="58" spans="1:12" ht="23.25" customHeight="1">
      <c r="A58" s="269" t="s">
        <v>620</v>
      </c>
      <c r="B58" s="44"/>
      <c r="C58" s="44"/>
      <c r="D58" s="44"/>
      <c r="E58" s="44"/>
      <c r="F58" s="44"/>
      <c r="G58" s="44"/>
      <c r="H58" s="44"/>
      <c r="I58" s="44"/>
      <c r="J58" s="44"/>
      <c r="K58" s="303"/>
    </row>
    <row r="59" spans="1:12" ht="23.25" customHeight="1">
      <c r="A59" s="272" t="s">
        <v>625</v>
      </c>
      <c r="B59" s="290" t="s">
        <v>628</v>
      </c>
      <c r="C59" s="294" t="s">
        <v>77</v>
      </c>
      <c r="D59" s="295"/>
      <c r="E59" s="290" t="s">
        <v>629</v>
      </c>
      <c r="F59" s="253" t="s">
        <v>401</v>
      </c>
      <c r="G59" s="253"/>
      <c r="H59" s="253" t="s">
        <v>619</v>
      </c>
      <c r="I59" s="253"/>
      <c r="J59" s="253"/>
      <c r="K59" s="307"/>
      <c r="L59" s="44"/>
    </row>
    <row r="60" spans="1:12" ht="23.25" customHeight="1">
      <c r="A60" s="272"/>
      <c r="B60" s="290"/>
      <c r="C60" s="294"/>
      <c r="D60" s="295"/>
      <c r="E60" s="290"/>
      <c r="F60" s="253"/>
      <c r="G60" s="253"/>
      <c r="H60" s="253"/>
      <c r="I60" s="253"/>
      <c r="J60" s="253"/>
      <c r="K60" s="307"/>
      <c r="L60" s="44"/>
    </row>
    <row r="61" spans="1:12" ht="23.25" customHeight="1">
      <c r="A61" s="272"/>
      <c r="B61" s="290"/>
      <c r="C61" s="294"/>
      <c r="D61" s="295"/>
      <c r="E61" s="290"/>
      <c r="F61" s="253"/>
      <c r="G61" s="253"/>
      <c r="H61" s="253"/>
      <c r="I61" s="253"/>
      <c r="J61" s="253"/>
      <c r="K61" s="307"/>
      <c r="L61" s="44"/>
    </row>
    <row r="62" spans="1:12" ht="23.25" customHeight="1">
      <c r="A62" s="272"/>
      <c r="B62" s="290"/>
      <c r="C62" s="294"/>
      <c r="D62" s="295"/>
      <c r="E62" s="290"/>
      <c r="F62" s="253"/>
      <c r="G62" s="253"/>
      <c r="H62" s="253"/>
      <c r="I62" s="253"/>
      <c r="J62" s="253"/>
      <c r="K62" s="307"/>
      <c r="L62" s="44"/>
    </row>
    <row r="63" spans="1:12" ht="23.25" customHeight="1">
      <c r="A63" s="272"/>
      <c r="B63" s="290"/>
      <c r="C63" s="294"/>
      <c r="D63" s="295"/>
      <c r="E63" s="290"/>
      <c r="F63" s="253"/>
      <c r="G63" s="253"/>
      <c r="H63" s="253"/>
      <c r="I63" s="253"/>
      <c r="J63" s="253"/>
      <c r="K63" s="307"/>
      <c r="L63" s="44"/>
    </row>
    <row r="64" spans="1:12" ht="23.25" customHeight="1">
      <c r="A64" s="272"/>
      <c r="B64" s="290"/>
      <c r="C64" s="294"/>
      <c r="D64" s="295"/>
      <c r="E64" s="290"/>
      <c r="F64" s="253"/>
      <c r="G64" s="253"/>
      <c r="H64" s="253"/>
      <c r="I64" s="253"/>
      <c r="J64" s="253"/>
      <c r="K64" s="307"/>
      <c r="L64" s="44"/>
    </row>
    <row r="65" spans="1:12" ht="23.25" customHeight="1">
      <c r="A65" s="272"/>
      <c r="B65" s="290"/>
      <c r="C65" s="294"/>
      <c r="D65" s="295"/>
      <c r="E65" s="290"/>
      <c r="F65" s="253"/>
      <c r="G65" s="253"/>
      <c r="H65" s="253"/>
      <c r="I65" s="253"/>
      <c r="J65" s="253"/>
      <c r="K65" s="307"/>
      <c r="L65" s="44"/>
    </row>
    <row r="66" spans="1:12" ht="23.25" customHeight="1">
      <c r="A66" s="272"/>
      <c r="B66" s="290"/>
      <c r="C66" s="294"/>
      <c r="D66" s="295"/>
      <c r="E66" s="290"/>
      <c r="F66" s="253"/>
      <c r="G66" s="253"/>
      <c r="H66" s="253"/>
      <c r="I66" s="253"/>
      <c r="J66" s="253"/>
      <c r="K66" s="307"/>
      <c r="L66" s="44"/>
    </row>
    <row r="67" spans="1:12" ht="23.25" customHeight="1">
      <c r="A67" s="272"/>
      <c r="B67" s="290"/>
      <c r="C67" s="294"/>
      <c r="D67" s="295"/>
      <c r="E67" s="290"/>
      <c r="F67" s="253"/>
      <c r="G67" s="253"/>
      <c r="H67" s="253"/>
      <c r="I67" s="253"/>
      <c r="J67" s="253"/>
      <c r="K67" s="307"/>
      <c r="L67" s="44"/>
    </row>
    <row r="68" spans="1:12" ht="23.25" customHeight="1">
      <c r="A68" s="269" t="s">
        <v>208</v>
      </c>
      <c r="B68" s="44"/>
      <c r="C68" s="44"/>
      <c r="D68" s="44"/>
      <c r="E68" s="252"/>
      <c r="F68" s="252"/>
      <c r="G68" s="252"/>
      <c r="H68" s="252"/>
      <c r="I68" s="252"/>
      <c r="J68" s="252"/>
      <c r="K68" s="303"/>
    </row>
    <row r="69" spans="1:12" ht="23.25" customHeight="1">
      <c r="A69" s="272" t="s">
        <v>212</v>
      </c>
      <c r="B69" s="253" t="s">
        <v>318</v>
      </c>
      <c r="C69" s="253"/>
      <c r="D69" s="253" t="s">
        <v>168</v>
      </c>
      <c r="E69" s="253"/>
      <c r="F69" s="253"/>
      <c r="G69" s="253" t="s">
        <v>630</v>
      </c>
      <c r="H69" s="253"/>
      <c r="I69" s="253" t="s">
        <v>276</v>
      </c>
      <c r="J69" s="253"/>
      <c r="K69" s="307"/>
    </row>
    <row r="70" spans="1:12" ht="23.25" customHeight="1">
      <c r="A70" s="256"/>
      <c r="B70" s="253" t="s">
        <v>602</v>
      </c>
      <c r="C70" s="253"/>
      <c r="D70" s="253"/>
      <c r="E70" s="253"/>
      <c r="F70" s="253"/>
      <c r="G70" s="253"/>
      <c r="H70" s="253"/>
      <c r="I70" s="253"/>
      <c r="J70" s="253"/>
      <c r="K70" s="307"/>
    </row>
    <row r="71" spans="1:12" ht="23.25" customHeight="1">
      <c r="A71" s="256"/>
      <c r="B71" s="253" t="s">
        <v>293</v>
      </c>
      <c r="C71" s="253"/>
      <c r="D71" s="253"/>
      <c r="E71" s="253"/>
      <c r="F71" s="253"/>
      <c r="G71" s="253"/>
      <c r="H71" s="253"/>
      <c r="I71" s="253"/>
      <c r="J71" s="253"/>
      <c r="K71" s="307"/>
    </row>
    <row r="72" spans="1:12" ht="23.25" customHeight="1">
      <c r="A72" s="256"/>
      <c r="B72" s="253" t="s">
        <v>370</v>
      </c>
      <c r="C72" s="253"/>
      <c r="D72" s="253"/>
      <c r="E72" s="253"/>
      <c r="F72" s="253"/>
      <c r="G72" s="253"/>
      <c r="H72" s="253"/>
      <c r="I72" s="253"/>
      <c r="J72" s="253"/>
      <c r="K72" s="307"/>
    </row>
    <row r="73" spans="1:12" ht="23.25" customHeight="1">
      <c r="A73" s="256"/>
      <c r="B73" s="253" t="s">
        <v>602</v>
      </c>
      <c r="C73" s="253"/>
      <c r="D73" s="253"/>
      <c r="E73" s="253"/>
      <c r="F73" s="253"/>
      <c r="G73" s="253"/>
      <c r="H73" s="253"/>
      <c r="I73" s="253"/>
      <c r="J73" s="253"/>
      <c r="K73" s="307"/>
    </row>
    <row r="74" spans="1:12" ht="23.25" customHeight="1">
      <c r="A74" s="256"/>
      <c r="B74" s="253" t="s">
        <v>293</v>
      </c>
      <c r="C74" s="253"/>
      <c r="D74" s="253"/>
      <c r="E74" s="253"/>
      <c r="F74" s="253"/>
      <c r="G74" s="253"/>
      <c r="H74" s="253"/>
      <c r="I74" s="253"/>
      <c r="J74" s="253"/>
      <c r="K74" s="307"/>
    </row>
    <row r="75" spans="1:12" ht="23.25" customHeight="1">
      <c r="A75" s="256"/>
      <c r="B75" s="253" t="s">
        <v>370</v>
      </c>
      <c r="C75" s="253"/>
      <c r="D75" s="253"/>
      <c r="E75" s="253"/>
      <c r="F75" s="253"/>
      <c r="G75" s="253"/>
      <c r="H75" s="253"/>
      <c r="I75" s="253"/>
      <c r="J75" s="253"/>
      <c r="K75" s="307"/>
    </row>
    <row r="76" spans="1:12" ht="23.25" customHeight="1">
      <c r="A76" s="256"/>
      <c r="B76" s="253" t="s">
        <v>602</v>
      </c>
      <c r="C76" s="253"/>
      <c r="D76" s="253"/>
      <c r="E76" s="253"/>
      <c r="F76" s="253"/>
      <c r="G76" s="253"/>
      <c r="H76" s="253"/>
      <c r="I76" s="253"/>
      <c r="J76" s="253"/>
      <c r="K76" s="307"/>
    </row>
    <row r="77" spans="1:12" ht="23.25" customHeight="1">
      <c r="A77" s="256"/>
      <c r="B77" s="253" t="s">
        <v>293</v>
      </c>
      <c r="C77" s="253"/>
      <c r="D77" s="253"/>
      <c r="E77" s="253"/>
      <c r="F77" s="253"/>
      <c r="G77" s="253"/>
      <c r="H77" s="253"/>
      <c r="I77" s="253"/>
      <c r="J77" s="253"/>
      <c r="K77" s="307"/>
    </row>
    <row r="78" spans="1:12" ht="23.25" customHeight="1">
      <c r="A78" s="256"/>
      <c r="B78" s="253" t="s">
        <v>370</v>
      </c>
      <c r="C78" s="253"/>
      <c r="D78" s="253"/>
      <c r="E78" s="253"/>
      <c r="F78" s="253"/>
      <c r="G78" s="253"/>
      <c r="H78" s="253"/>
      <c r="I78" s="253"/>
      <c r="J78" s="253"/>
      <c r="K78" s="307"/>
    </row>
    <row r="79" spans="1:12" ht="23.25" customHeight="1">
      <c r="A79" s="279"/>
      <c r="B79" s="253" t="s">
        <v>602</v>
      </c>
      <c r="C79" s="253"/>
      <c r="D79" s="253"/>
      <c r="E79" s="253"/>
      <c r="F79" s="253"/>
      <c r="G79" s="253"/>
      <c r="H79" s="253"/>
      <c r="I79" s="253"/>
      <c r="J79" s="253"/>
      <c r="K79" s="307"/>
    </row>
    <row r="80" spans="1:12" ht="23.25" customHeight="1">
      <c r="A80" s="280"/>
      <c r="B80" s="253" t="s">
        <v>293</v>
      </c>
      <c r="C80" s="253"/>
      <c r="D80" s="253"/>
      <c r="E80" s="253"/>
      <c r="F80" s="253"/>
      <c r="G80" s="253"/>
      <c r="H80" s="253"/>
      <c r="I80" s="253"/>
      <c r="J80" s="253"/>
      <c r="K80" s="307"/>
    </row>
    <row r="81" spans="1:11" ht="23.25" customHeight="1">
      <c r="A81" s="281"/>
      <c r="B81" s="253" t="s">
        <v>370</v>
      </c>
      <c r="C81" s="253"/>
      <c r="D81" s="253"/>
      <c r="E81" s="253"/>
      <c r="F81" s="253"/>
      <c r="G81" s="253"/>
      <c r="H81" s="253"/>
      <c r="I81" s="253"/>
      <c r="J81" s="253"/>
      <c r="K81" s="307"/>
    </row>
    <row r="82" spans="1:11" ht="23.25" customHeight="1">
      <c r="A82" s="256"/>
      <c r="B82" s="253" t="s">
        <v>602</v>
      </c>
      <c r="C82" s="253"/>
      <c r="D82" s="253"/>
      <c r="E82" s="253"/>
      <c r="F82" s="253"/>
      <c r="G82" s="253"/>
      <c r="H82" s="253"/>
      <c r="I82" s="253"/>
      <c r="J82" s="253"/>
      <c r="K82" s="307"/>
    </row>
    <row r="83" spans="1:11" ht="23.25" customHeight="1">
      <c r="A83" s="256"/>
      <c r="B83" s="253" t="s">
        <v>293</v>
      </c>
      <c r="C83" s="253"/>
      <c r="D83" s="253"/>
      <c r="E83" s="253"/>
      <c r="F83" s="253"/>
      <c r="G83" s="253"/>
      <c r="H83" s="253"/>
      <c r="I83" s="253"/>
      <c r="J83" s="253"/>
      <c r="K83" s="307"/>
    </row>
    <row r="84" spans="1:11" ht="23.25" customHeight="1">
      <c r="A84" s="256"/>
      <c r="B84" s="253" t="s">
        <v>370</v>
      </c>
      <c r="C84" s="253"/>
      <c r="D84" s="253"/>
      <c r="E84" s="253"/>
      <c r="F84" s="253"/>
      <c r="G84" s="253"/>
      <c r="H84" s="253"/>
      <c r="I84" s="253"/>
      <c r="J84" s="253"/>
      <c r="K84" s="307"/>
    </row>
    <row r="85" spans="1:11" ht="23.25" customHeight="1">
      <c r="A85" s="282" t="s">
        <v>232</v>
      </c>
      <c r="B85" s="252"/>
      <c r="C85" s="252"/>
      <c r="D85" s="252"/>
      <c r="E85" s="252"/>
      <c r="F85" s="252"/>
      <c r="G85" s="252"/>
      <c r="H85" s="252"/>
      <c r="I85" s="252"/>
      <c r="J85" s="252"/>
      <c r="K85" s="312"/>
    </row>
    <row r="86" spans="1:11" ht="23.25" customHeight="1">
      <c r="A86" s="283"/>
      <c r="B86" s="252"/>
      <c r="C86" s="252"/>
      <c r="D86" s="252"/>
      <c r="E86" s="252"/>
      <c r="F86" s="252"/>
      <c r="G86" s="252"/>
      <c r="H86" s="252"/>
      <c r="I86" s="252"/>
      <c r="J86" s="252"/>
      <c r="K86" s="312"/>
    </row>
    <row r="87" spans="1:11" ht="23.25" customHeight="1">
      <c r="A87" s="276"/>
      <c r="B87" s="292"/>
      <c r="C87" s="292"/>
      <c r="D87" s="292"/>
      <c r="E87" s="292"/>
      <c r="F87" s="292"/>
      <c r="G87" s="292"/>
      <c r="H87" s="292"/>
      <c r="I87" s="292"/>
      <c r="J87" s="292"/>
      <c r="K87" s="314"/>
    </row>
    <row r="88" spans="1:11">
      <c r="E88" s="296" t="s">
        <v>509</v>
      </c>
    </row>
    <row r="89" spans="1:11">
      <c r="A89" s="44" t="s">
        <v>195</v>
      </c>
    </row>
    <row r="90" spans="1:11">
      <c r="A90" s="44" t="s">
        <v>407</v>
      </c>
    </row>
    <row r="91" spans="1:11">
      <c r="A91" s="44"/>
      <c r="B91" t="s">
        <v>419</v>
      </c>
    </row>
    <row r="92" spans="1:11">
      <c r="A92" s="44" t="s">
        <v>409</v>
      </c>
    </row>
    <row r="93" spans="1:11">
      <c r="A93" t="s">
        <v>227</v>
      </c>
      <c r="C93" t="s">
        <v>180</v>
      </c>
      <c r="D93" t="s">
        <v>182</v>
      </c>
    </row>
    <row r="94" spans="1:11">
      <c r="A94" t="s">
        <v>420</v>
      </c>
    </row>
    <row r="95" spans="1:11">
      <c r="A95" s="44" t="s">
        <v>411</v>
      </c>
      <c r="E95" t="s">
        <v>177</v>
      </c>
      <c r="G95" t="s">
        <v>175</v>
      </c>
    </row>
    <row r="96" spans="1:11">
      <c r="A96" t="s">
        <v>414</v>
      </c>
      <c r="C96" t="s">
        <v>168</v>
      </c>
    </row>
    <row r="97" spans="1:7">
      <c r="A97" t="s">
        <v>416</v>
      </c>
      <c r="C97" t="s">
        <v>170</v>
      </c>
      <c r="D97" t="s">
        <v>189</v>
      </c>
    </row>
    <row r="98" spans="1:7">
      <c r="A98" t="s">
        <v>417</v>
      </c>
      <c r="C98" t="s">
        <v>174</v>
      </c>
      <c r="D98" t="s">
        <v>193</v>
      </c>
      <c r="G98" t="s">
        <v>186</v>
      </c>
    </row>
    <row r="100" spans="1:7">
      <c r="A100" s="44" t="s">
        <v>486</v>
      </c>
    </row>
    <row r="101" spans="1:7">
      <c r="A101" t="s">
        <v>487</v>
      </c>
    </row>
    <row r="102" spans="1:7">
      <c r="A102" t="s">
        <v>489</v>
      </c>
    </row>
    <row r="103" spans="1:7">
      <c r="A103" t="s">
        <v>490</v>
      </c>
    </row>
    <row r="104" spans="1:7">
      <c r="A104" t="s">
        <v>15</v>
      </c>
    </row>
    <row r="105" spans="1:7">
      <c r="A105" t="s">
        <v>191</v>
      </c>
    </row>
    <row r="107" spans="1:7">
      <c r="A107" s="44" t="s">
        <v>492</v>
      </c>
    </row>
    <row r="108" spans="1:7">
      <c r="A108" t="s">
        <v>495</v>
      </c>
    </row>
    <row r="109" spans="1:7">
      <c r="A109" t="s">
        <v>494</v>
      </c>
    </row>
    <row r="110" spans="1:7">
      <c r="A110" t="s">
        <v>218</v>
      </c>
    </row>
  </sheetData>
  <mergeCells count="171">
    <mergeCell ref="A2:K2"/>
    <mergeCell ref="A3:K3"/>
    <mergeCell ref="A4:E4"/>
    <mergeCell ref="F4:H4"/>
    <mergeCell ref="I4:K4"/>
    <mergeCell ref="A12:K12"/>
    <mergeCell ref="A13:E13"/>
    <mergeCell ref="F13:H13"/>
    <mergeCell ref="I13:K13"/>
    <mergeCell ref="E15:K15"/>
    <mergeCell ref="E16:K16"/>
    <mergeCell ref="E17:K17"/>
    <mergeCell ref="E18:K18"/>
    <mergeCell ref="E19:K19"/>
    <mergeCell ref="E20:K20"/>
    <mergeCell ref="E21:K21"/>
    <mergeCell ref="E22:K22"/>
    <mergeCell ref="E23:K23"/>
    <mergeCell ref="C30:D30"/>
    <mergeCell ref="H30:K30"/>
    <mergeCell ref="C31:D31"/>
    <mergeCell ref="H31:K31"/>
    <mergeCell ref="C32:D32"/>
    <mergeCell ref="H32:K32"/>
    <mergeCell ref="C33:D33"/>
    <mergeCell ref="H33:K33"/>
    <mergeCell ref="C34:D34"/>
    <mergeCell ref="H34:K34"/>
    <mergeCell ref="C35:D35"/>
    <mergeCell ref="H35:K35"/>
    <mergeCell ref="C36:D36"/>
    <mergeCell ref="H36:K36"/>
    <mergeCell ref="B38:E38"/>
    <mergeCell ref="F38:H38"/>
    <mergeCell ref="I38:K38"/>
    <mergeCell ref="B39:E39"/>
    <mergeCell ref="F39:H39"/>
    <mergeCell ref="I39:K39"/>
    <mergeCell ref="B40:E40"/>
    <mergeCell ref="F40:H40"/>
    <mergeCell ref="I40:K40"/>
    <mergeCell ref="B42:E42"/>
    <mergeCell ref="F42:H42"/>
    <mergeCell ref="I42:K42"/>
    <mergeCell ref="B43:E43"/>
    <mergeCell ref="F43:H43"/>
    <mergeCell ref="I43:K43"/>
    <mergeCell ref="B44:E44"/>
    <mergeCell ref="F44:H44"/>
    <mergeCell ref="I44:K44"/>
    <mergeCell ref="A46:K46"/>
    <mergeCell ref="A48:K48"/>
    <mergeCell ref="A49:E49"/>
    <mergeCell ref="F49:H49"/>
    <mergeCell ref="I49:K49"/>
    <mergeCell ref="C51:D51"/>
    <mergeCell ref="G51:K51"/>
    <mergeCell ref="C52:D52"/>
    <mergeCell ref="E52:F52"/>
    <mergeCell ref="G52:K52"/>
    <mergeCell ref="C53:D53"/>
    <mergeCell ref="E53:F53"/>
    <mergeCell ref="G53:K53"/>
    <mergeCell ref="C54:D54"/>
    <mergeCell ref="E54:F54"/>
    <mergeCell ref="G54:K54"/>
    <mergeCell ref="C55:D55"/>
    <mergeCell ref="E55:F55"/>
    <mergeCell ref="G55:K55"/>
    <mergeCell ref="C56:D56"/>
    <mergeCell ref="E56:F56"/>
    <mergeCell ref="G56:K56"/>
    <mergeCell ref="C57:D57"/>
    <mergeCell ref="E57:F57"/>
    <mergeCell ref="G57:K57"/>
    <mergeCell ref="C59:D59"/>
    <mergeCell ref="F59:G59"/>
    <mergeCell ref="H59:K59"/>
    <mergeCell ref="C60:D60"/>
    <mergeCell ref="F60:G60"/>
    <mergeCell ref="H60:K60"/>
    <mergeCell ref="C61:D61"/>
    <mergeCell ref="F61:G61"/>
    <mergeCell ref="H61:K61"/>
    <mergeCell ref="C62:D62"/>
    <mergeCell ref="F62:G62"/>
    <mergeCell ref="H62:K62"/>
    <mergeCell ref="C63:D63"/>
    <mergeCell ref="F63:G63"/>
    <mergeCell ref="H63:K63"/>
    <mergeCell ref="C64:D64"/>
    <mergeCell ref="F64:G64"/>
    <mergeCell ref="H64:K64"/>
    <mergeCell ref="C65:D65"/>
    <mergeCell ref="F65:G65"/>
    <mergeCell ref="H65:K65"/>
    <mergeCell ref="C66:D66"/>
    <mergeCell ref="F66:G66"/>
    <mergeCell ref="H66:K66"/>
    <mergeCell ref="C67:D67"/>
    <mergeCell ref="F67:G67"/>
    <mergeCell ref="H67:K67"/>
    <mergeCell ref="B69:C69"/>
    <mergeCell ref="D69:F69"/>
    <mergeCell ref="G69:H69"/>
    <mergeCell ref="I69:K69"/>
    <mergeCell ref="B70:C70"/>
    <mergeCell ref="D70:F70"/>
    <mergeCell ref="G70:H70"/>
    <mergeCell ref="I70:K70"/>
    <mergeCell ref="B71:C71"/>
    <mergeCell ref="D71:F71"/>
    <mergeCell ref="G71:H71"/>
    <mergeCell ref="I71:K71"/>
    <mergeCell ref="B72:C72"/>
    <mergeCell ref="D72:F72"/>
    <mergeCell ref="G72:H72"/>
    <mergeCell ref="I72:K72"/>
    <mergeCell ref="B73:C73"/>
    <mergeCell ref="D73:F73"/>
    <mergeCell ref="G73:H73"/>
    <mergeCell ref="I73:K73"/>
    <mergeCell ref="B74:C74"/>
    <mergeCell ref="D74:F74"/>
    <mergeCell ref="G74:H74"/>
    <mergeCell ref="I74:K74"/>
    <mergeCell ref="B75:C75"/>
    <mergeCell ref="D75:F75"/>
    <mergeCell ref="G75:H75"/>
    <mergeCell ref="I75:K75"/>
    <mergeCell ref="B76:C76"/>
    <mergeCell ref="D76:F76"/>
    <mergeCell ref="G76:H76"/>
    <mergeCell ref="I76:K76"/>
    <mergeCell ref="B77:C77"/>
    <mergeCell ref="D77:F77"/>
    <mergeCell ref="G77:H77"/>
    <mergeCell ref="I77:K77"/>
    <mergeCell ref="B78:C78"/>
    <mergeCell ref="D78:F78"/>
    <mergeCell ref="G78:H78"/>
    <mergeCell ref="I78:K78"/>
    <mergeCell ref="B79:C79"/>
    <mergeCell ref="D79:F79"/>
    <mergeCell ref="G79:H79"/>
    <mergeCell ref="I79:K79"/>
    <mergeCell ref="B80:C80"/>
    <mergeCell ref="D80:F80"/>
    <mergeCell ref="G80:H80"/>
    <mergeCell ref="I80:K80"/>
    <mergeCell ref="B81:C81"/>
    <mergeCell ref="D81:F81"/>
    <mergeCell ref="G81:H81"/>
    <mergeCell ref="I81:K81"/>
    <mergeCell ref="B82:C82"/>
    <mergeCell ref="D82:F82"/>
    <mergeCell ref="G82:H82"/>
    <mergeCell ref="I82:K82"/>
    <mergeCell ref="B83:C83"/>
    <mergeCell ref="D83:F83"/>
    <mergeCell ref="G83:H83"/>
    <mergeCell ref="I83:K83"/>
    <mergeCell ref="B84:C84"/>
    <mergeCell ref="D84:F84"/>
    <mergeCell ref="G84:H84"/>
    <mergeCell ref="I84:K84"/>
    <mergeCell ref="A70:A72"/>
    <mergeCell ref="A73:A75"/>
    <mergeCell ref="A76:A78"/>
    <mergeCell ref="A79:A81"/>
    <mergeCell ref="A82:A84"/>
  </mergeCells>
  <phoneticPr fontId="1"/>
  <pageMargins left="0.70866141732283472" right="0.70866141732283472" top="0.74803149606299213" bottom="0.74803149606299213" header="0.31496062992125984" footer="0.31496062992125984"/>
  <pageSetup paperSize="9" scale="64" fitToWidth="1" fitToHeight="0" orientation="portrait" usePrinterDefaults="1" r:id="rId1"/>
  <rowBreaks count="2" manualBreakCount="2">
    <brk id="11" max="16383" man="1"/>
    <brk id="47"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43"/>
  <sheetViews>
    <sheetView showGridLines="0" view="pageBreakPreview" zoomScale="115" zoomScaleSheetLayoutView="115" workbookViewId="0">
      <selection activeCell="B47" sqref="B47"/>
    </sheetView>
  </sheetViews>
  <sheetFormatPr defaultRowHeight="13.5"/>
  <cols>
    <col min="1" max="1" width="24.5" customWidth="1"/>
    <col min="2" max="2" width="21.75" customWidth="1"/>
    <col min="3" max="3" width="25.25" customWidth="1"/>
    <col min="4" max="4" width="18.375" customWidth="1"/>
    <col min="5" max="5" width="15.625" customWidth="1"/>
  </cols>
  <sheetData>
    <row r="1" spans="1:9" ht="14.25">
      <c r="A1" s="43" t="s">
        <v>271</v>
      </c>
    </row>
    <row r="2" spans="1:9" s="318" customFormat="1" ht="26.25" customHeight="1">
      <c r="A2" s="43" t="s">
        <v>893</v>
      </c>
    </row>
    <row r="3" spans="1:9" ht="26.25" customHeight="1">
      <c r="A3" s="319" t="s">
        <v>197</v>
      </c>
      <c r="B3" s="320" t="s">
        <v>733</v>
      </c>
      <c r="C3" s="320" t="s">
        <v>252</v>
      </c>
      <c r="D3" s="66" t="s">
        <v>276</v>
      </c>
      <c r="E3" s="66"/>
      <c r="F3" s="13"/>
      <c r="G3" s="13"/>
      <c r="H3" s="13"/>
      <c r="I3" s="13"/>
    </row>
    <row r="4" spans="1:9" ht="26.25" customHeight="1">
      <c r="A4" s="2" t="s">
        <v>198</v>
      </c>
      <c r="B4" s="2"/>
      <c r="C4" s="2"/>
      <c r="D4" s="6"/>
      <c r="E4" s="6"/>
      <c r="F4" s="13"/>
      <c r="G4" s="13"/>
      <c r="H4" s="13"/>
      <c r="I4" s="13"/>
    </row>
    <row r="5" spans="1:9" ht="26.25" customHeight="1">
      <c r="A5" s="2" t="s">
        <v>207</v>
      </c>
      <c r="B5" s="2"/>
      <c r="C5" s="2"/>
      <c r="D5" s="6"/>
      <c r="E5" s="6"/>
      <c r="F5" s="13"/>
      <c r="G5" s="13"/>
      <c r="H5" s="13"/>
      <c r="I5" s="13"/>
    </row>
    <row r="6" spans="1:9" ht="26.25" customHeight="1">
      <c r="A6" s="2" t="s">
        <v>210</v>
      </c>
      <c r="B6" s="2"/>
      <c r="C6" s="2"/>
      <c r="D6" s="6"/>
      <c r="E6" s="6"/>
      <c r="F6" s="13"/>
      <c r="G6" s="13"/>
      <c r="H6" s="13"/>
      <c r="I6" s="13"/>
    </row>
    <row r="7" spans="1:9" ht="26.25" customHeight="1">
      <c r="A7" s="319" t="s">
        <v>215</v>
      </c>
      <c r="B7" s="320" t="s">
        <v>634</v>
      </c>
      <c r="C7" s="66" t="s">
        <v>702</v>
      </c>
      <c r="D7" s="66" t="s">
        <v>276</v>
      </c>
      <c r="E7" s="66"/>
      <c r="F7" s="13"/>
      <c r="G7" s="13"/>
      <c r="H7" s="13"/>
      <c r="I7" s="13"/>
    </row>
    <row r="8" spans="1:9" ht="26.25" customHeight="1">
      <c r="A8" s="2" t="s">
        <v>868</v>
      </c>
      <c r="B8" s="2"/>
      <c r="C8" s="2"/>
      <c r="D8" s="6"/>
      <c r="E8" s="6"/>
      <c r="F8" s="13"/>
      <c r="G8" s="13"/>
      <c r="H8" s="13"/>
      <c r="I8" s="13"/>
    </row>
    <row r="9" spans="1:9" ht="26.25" customHeight="1">
      <c r="A9" s="2" t="s">
        <v>869</v>
      </c>
      <c r="B9" s="2"/>
      <c r="C9" s="2"/>
      <c r="D9" s="6"/>
      <c r="E9" s="6"/>
      <c r="F9" s="13"/>
      <c r="G9" s="13"/>
      <c r="H9" s="13"/>
      <c r="I9" s="13"/>
    </row>
    <row r="10" spans="1:9" ht="26.25" customHeight="1">
      <c r="A10" s="2"/>
      <c r="B10" s="2"/>
      <c r="C10" s="2"/>
      <c r="D10" s="6"/>
      <c r="E10" s="6"/>
      <c r="F10" s="13"/>
      <c r="G10" s="13"/>
      <c r="H10" s="13"/>
      <c r="I10" s="13"/>
    </row>
    <row r="11" spans="1:9" ht="26.25" customHeight="1">
      <c r="A11" s="2" t="s">
        <v>637</v>
      </c>
      <c r="B11" s="2"/>
      <c r="C11" s="2"/>
      <c r="D11" s="6"/>
      <c r="E11" s="6"/>
      <c r="F11" s="13"/>
      <c r="G11" s="13"/>
      <c r="H11" s="13"/>
      <c r="I11" s="13"/>
    </row>
    <row r="12" spans="1:9" ht="26.25" customHeight="1">
      <c r="A12" s="319" t="s">
        <v>142</v>
      </c>
      <c r="B12" s="320" t="s">
        <v>633</v>
      </c>
      <c r="C12" s="66" t="s">
        <v>476</v>
      </c>
      <c r="D12" s="66" t="s">
        <v>276</v>
      </c>
      <c r="E12" s="66"/>
      <c r="F12" s="13"/>
      <c r="G12" s="13"/>
      <c r="H12" s="13"/>
      <c r="I12" s="13"/>
    </row>
    <row r="13" spans="1:9" ht="26.25" customHeight="1">
      <c r="A13" s="2" t="s">
        <v>217</v>
      </c>
      <c r="B13" s="2"/>
      <c r="C13" s="2"/>
      <c r="D13" s="6"/>
      <c r="E13" s="6"/>
      <c r="F13" s="13" t="s">
        <v>730</v>
      </c>
      <c r="G13" s="13"/>
      <c r="H13" s="13"/>
      <c r="I13" s="13"/>
    </row>
    <row r="14" spans="1:9" ht="26.25" customHeight="1">
      <c r="A14" s="2" t="s">
        <v>223</v>
      </c>
      <c r="B14" s="2"/>
      <c r="C14" s="2"/>
      <c r="D14" s="6"/>
      <c r="E14" s="6"/>
      <c r="F14" s="13"/>
      <c r="G14" s="13"/>
      <c r="H14" s="13"/>
      <c r="I14" s="13"/>
    </row>
    <row r="15" spans="1:9" ht="26.25" customHeight="1">
      <c r="A15" s="2" t="s">
        <v>820</v>
      </c>
      <c r="B15" s="2"/>
      <c r="C15" s="2"/>
      <c r="D15" s="6"/>
      <c r="E15" s="6"/>
      <c r="F15" s="13"/>
      <c r="G15" s="13"/>
      <c r="H15" s="13"/>
      <c r="I15" s="13"/>
    </row>
    <row r="16" spans="1:9" ht="26.25" customHeight="1">
      <c r="A16" s="2" t="s">
        <v>181</v>
      </c>
      <c r="B16" s="2"/>
      <c r="C16" s="2"/>
      <c r="D16" s="6"/>
      <c r="E16" s="6"/>
      <c r="F16" s="13"/>
      <c r="G16" s="13"/>
      <c r="H16" s="13"/>
      <c r="I16" s="13"/>
    </row>
    <row r="17" spans="1:9" ht="26.25" customHeight="1">
      <c r="A17" s="290" t="s">
        <v>224</v>
      </c>
      <c r="B17" s="72" t="s">
        <v>365</v>
      </c>
      <c r="C17" s="321" t="s">
        <v>589</v>
      </c>
      <c r="D17" s="72" t="s">
        <v>276</v>
      </c>
      <c r="E17" s="72"/>
      <c r="F17" s="13" t="s">
        <v>442</v>
      </c>
      <c r="G17" s="13"/>
      <c r="H17" s="13"/>
      <c r="I17" s="13"/>
    </row>
    <row r="18" spans="1:9" ht="26.25" customHeight="1">
      <c r="A18" s="239" t="s">
        <v>226</v>
      </c>
      <c r="B18" s="239"/>
      <c r="C18" s="239"/>
      <c r="D18" s="6"/>
      <c r="E18" s="6"/>
      <c r="F18" s="13" t="s">
        <v>729</v>
      </c>
      <c r="G18" s="13"/>
      <c r="H18" s="13"/>
      <c r="I18" s="13"/>
    </row>
    <row r="19" spans="1:9" ht="26.25" customHeight="1">
      <c r="A19" s="239" t="s">
        <v>231</v>
      </c>
      <c r="B19" s="239"/>
      <c r="C19" s="239"/>
      <c r="D19" s="6"/>
      <c r="E19" s="6"/>
      <c r="F19" s="13"/>
      <c r="G19" s="13"/>
      <c r="H19" s="13"/>
      <c r="I19" s="13"/>
    </row>
    <row r="20" spans="1:9" ht="26.25" customHeight="1">
      <c r="A20" s="319" t="s">
        <v>233</v>
      </c>
      <c r="B20" s="321" t="s">
        <v>327</v>
      </c>
      <c r="C20" s="72" t="s">
        <v>726</v>
      </c>
      <c r="D20" s="72" t="s">
        <v>276</v>
      </c>
      <c r="E20" s="72"/>
      <c r="F20" s="13"/>
      <c r="G20" s="13"/>
      <c r="H20" s="13"/>
      <c r="I20" s="13"/>
    </row>
    <row r="21" spans="1:9" ht="26.25" customHeight="1">
      <c r="A21" s="239" t="s">
        <v>636</v>
      </c>
      <c r="B21" s="239"/>
      <c r="C21" s="239"/>
      <c r="D21" s="6"/>
      <c r="E21" s="6"/>
      <c r="F21" s="13"/>
      <c r="G21" s="13"/>
      <c r="H21" s="13"/>
      <c r="I21" s="13"/>
    </row>
    <row r="22" spans="1:9" ht="26.25" customHeight="1">
      <c r="A22" s="239"/>
      <c r="B22" s="239"/>
      <c r="C22" s="239"/>
      <c r="D22" s="6"/>
      <c r="E22" s="6"/>
      <c r="F22" s="13"/>
      <c r="G22" s="13"/>
      <c r="H22" s="13"/>
      <c r="I22" s="13"/>
    </row>
    <row r="23" spans="1:9" ht="26.25" customHeight="1">
      <c r="A23" s="13"/>
      <c r="B23" s="13"/>
      <c r="C23" s="13"/>
      <c r="D23" s="13"/>
      <c r="E23" s="13"/>
      <c r="F23" s="13"/>
      <c r="G23" s="13"/>
      <c r="H23" s="13"/>
      <c r="I23" s="13"/>
    </row>
    <row r="24" spans="1:9" ht="26.25" customHeight="1">
      <c r="A24" s="43" t="s">
        <v>497</v>
      </c>
      <c r="B24" s="13"/>
      <c r="C24" s="13"/>
      <c r="D24" s="13"/>
      <c r="E24" s="13"/>
      <c r="F24" s="13"/>
      <c r="G24" s="13"/>
      <c r="H24" s="13"/>
      <c r="I24" s="13"/>
    </row>
    <row r="25" spans="1:9" ht="26.25" customHeight="1">
      <c r="A25" s="319" t="s">
        <v>235</v>
      </c>
      <c r="B25" s="4" t="s">
        <v>634</v>
      </c>
      <c r="C25" s="4" t="s">
        <v>252</v>
      </c>
      <c r="D25" s="322" t="s">
        <v>276</v>
      </c>
      <c r="E25" s="322"/>
      <c r="F25" s="13"/>
      <c r="G25" s="13"/>
      <c r="H25" s="13"/>
      <c r="I25" s="13"/>
    </row>
    <row r="26" spans="1:9" ht="26.25" customHeight="1">
      <c r="A26" s="290" t="s">
        <v>197</v>
      </c>
      <c r="B26" s="239"/>
      <c r="C26" s="239"/>
      <c r="D26" s="6"/>
      <c r="E26" s="6"/>
      <c r="F26" s="13" t="s">
        <v>262</v>
      </c>
      <c r="G26" s="13"/>
      <c r="H26" s="13"/>
      <c r="I26" s="13"/>
    </row>
    <row r="27" spans="1:9" ht="24.75" customHeight="1">
      <c r="A27" s="290" t="s">
        <v>236</v>
      </c>
      <c r="B27" s="239"/>
      <c r="C27" s="239"/>
      <c r="D27" s="6"/>
      <c r="E27" s="6"/>
      <c r="F27" s="13"/>
      <c r="G27" s="13"/>
      <c r="H27" s="13"/>
      <c r="I27" s="13"/>
    </row>
    <row r="28" spans="1:9" ht="24.75" customHeight="1">
      <c r="A28" s="239" t="s">
        <v>868</v>
      </c>
      <c r="B28" s="239"/>
      <c r="C28" s="239"/>
      <c r="D28" s="6"/>
      <c r="E28" s="6"/>
      <c r="F28" s="13"/>
      <c r="G28" s="13"/>
      <c r="H28" s="13"/>
      <c r="I28" s="13"/>
    </row>
    <row r="29" spans="1:9" ht="24.75" customHeight="1">
      <c r="A29" s="239"/>
      <c r="B29" s="239"/>
      <c r="C29" s="239"/>
      <c r="D29" s="6"/>
      <c r="E29" s="6"/>
      <c r="F29" s="13"/>
      <c r="G29" s="13"/>
      <c r="H29" s="13"/>
      <c r="I29" s="13"/>
    </row>
    <row r="30" spans="1:9" ht="24.75" customHeight="1">
      <c r="A30" s="2" t="s">
        <v>237</v>
      </c>
      <c r="B30" s="2"/>
      <c r="C30" s="2"/>
      <c r="D30" s="6"/>
      <c r="E30" s="6"/>
      <c r="F30" t="s">
        <v>708</v>
      </c>
    </row>
    <row r="31" spans="1:9" ht="28.5" customHeight="1">
      <c r="A31" s="238" t="s">
        <v>329</v>
      </c>
      <c r="B31" s="2"/>
      <c r="C31" s="2"/>
      <c r="D31" s="6"/>
      <c r="E31" s="6"/>
      <c r="H31" s="323"/>
    </row>
    <row r="32" spans="1:9" ht="24.75" customHeight="1">
      <c r="A32" s="2" t="s">
        <v>16</v>
      </c>
      <c r="B32" s="2"/>
      <c r="C32" s="2"/>
      <c r="D32" s="6"/>
      <c r="E32" s="6"/>
    </row>
    <row r="33" spans="1:5" ht="24.75" customHeight="1">
      <c r="A33" s="287"/>
      <c r="B33" s="287"/>
      <c r="C33" s="287"/>
      <c r="D33" s="287"/>
    </row>
    <row r="34" spans="1:5" ht="24.75" customHeight="1">
      <c r="A34" s="290" t="s">
        <v>230</v>
      </c>
      <c r="B34" s="320" t="s">
        <v>639</v>
      </c>
      <c r="C34" s="66" t="s">
        <v>108</v>
      </c>
      <c r="D34" s="66" t="s">
        <v>345</v>
      </c>
      <c r="E34" s="66" t="s">
        <v>619</v>
      </c>
    </row>
    <row r="35" spans="1:5" ht="24.75" customHeight="1">
      <c r="A35" s="2" t="s">
        <v>216</v>
      </c>
      <c r="B35" s="2"/>
      <c r="C35" s="2"/>
      <c r="D35" s="2"/>
      <c r="E35" s="2"/>
    </row>
    <row r="36" spans="1:5" ht="24.75" customHeight="1">
      <c r="A36" s="2" t="s">
        <v>17</v>
      </c>
      <c r="B36" s="2"/>
      <c r="C36" s="2"/>
      <c r="D36" s="2"/>
      <c r="E36" s="2"/>
    </row>
    <row r="37" spans="1:5" ht="24.75" customHeight="1">
      <c r="A37" s="2" t="s">
        <v>538</v>
      </c>
      <c r="B37" s="2"/>
      <c r="C37" s="2"/>
      <c r="D37" s="2"/>
      <c r="E37" s="2"/>
    </row>
    <row r="38" spans="1:5" ht="24.75" customHeight="1">
      <c r="A38" s="2"/>
      <c r="B38" s="2"/>
      <c r="C38" s="2"/>
      <c r="D38" s="2"/>
      <c r="E38" s="2"/>
    </row>
    <row r="40" spans="1:5">
      <c r="A40" t="s">
        <v>421</v>
      </c>
      <c r="C40" t="s">
        <v>424</v>
      </c>
    </row>
    <row r="41" spans="1:5">
      <c r="C41" t="s">
        <v>428</v>
      </c>
    </row>
    <row r="42" spans="1:5">
      <c r="C42" t="s">
        <v>432</v>
      </c>
    </row>
    <row r="43" spans="1:5">
      <c r="C43" t="s">
        <v>433</v>
      </c>
    </row>
  </sheetData>
  <mergeCells count="28">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5:E25"/>
    <mergeCell ref="D26:E26"/>
    <mergeCell ref="D27:E27"/>
    <mergeCell ref="D28:E28"/>
    <mergeCell ref="D29:E29"/>
    <mergeCell ref="D30:E30"/>
    <mergeCell ref="D31:E31"/>
    <mergeCell ref="D32:E32"/>
  </mergeCells>
  <phoneticPr fontId="1"/>
  <pageMargins left="0.7" right="0.7" top="0.75" bottom="0.75" header="0.3" footer="0.3"/>
  <pageSetup paperSize="9" scale="53"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48"/>
  <sheetViews>
    <sheetView showGridLines="0" view="pageBreakPreview" zoomScale="60" workbookViewId="0">
      <selection activeCell="G24" sqref="G24"/>
    </sheetView>
  </sheetViews>
  <sheetFormatPr defaultRowHeight="13.5"/>
  <cols>
    <col min="2" max="2" width="15" customWidth="1"/>
    <col min="4" max="6" width="10.75" customWidth="1"/>
    <col min="7" max="7" width="9.375" customWidth="1"/>
    <col min="8" max="8" width="31.625" customWidth="1"/>
  </cols>
  <sheetData>
    <row r="1" spans="1:9">
      <c r="A1" s="44" t="s">
        <v>240</v>
      </c>
    </row>
    <row r="2" spans="1:9" ht="23.25" customHeight="1">
      <c r="A2" s="44" t="s">
        <v>148</v>
      </c>
      <c r="D2" t="s">
        <v>431</v>
      </c>
      <c r="F2" t="s">
        <v>649</v>
      </c>
    </row>
    <row r="3" spans="1:9" ht="23.25" customHeight="1">
      <c r="A3" s="51" t="s">
        <v>466</v>
      </c>
      <c r="B3" s="51"/>
      <c r="C3" s="51" t="s">
        <v>646</v>
      </c>
      <c r="D3" s="51"/>
      <c r="E3" s="51"/>
      <c r="F3" s="51" t="s">
        <v>32</v>
      </c>
      <c r="G3" s="51" t="s">
        <v>645</v>
      </c>
      <c r="H3" s="51" t="s">
        <v>648</v>
      </c>
      <c r="I3" s="51" t="s">
        <v>510</v>
      </c>
    </row>
    <row r="4" spans="1:9" ht="23.25" customHeight="1">
      <c r="A4" s="6" t="s">
        <v>1154</v>
      </c>
      <c r="B4" s="6"/>
      <c r="C4" s="6" t="s">
        <v>1025</v>
      </c>
      <c r="D4" s="6"/>
      <c r="E4" s="6"/>
      <c r="F4" s="6"/>
      <c r="G4" s="6"/>
      <c r="H4" s="324"/>
      <c r="I4" s="6"/>
    </row>
    <row r="5" spans="1:9" ht="23.25" customHeight="1">
      <c r="A5" s="6" t="s">
        <v>109</v>
      </c>
      <c r="B5" s="6"/>
      <c r="C5" s="6" t="s">
        <v>455</v>
      </c>
      <c r="D5" s="6"/>
      <c r="E5" s="6"/>
      <c r="F5" s="6"/>
      <c r="G5" s="6"/>
      <c r="H5" s="324"/>
      <c r="I5" s="6"/>
    </row>
    <row r="6" spans="1:9" ht="23.25" customHeight="1">
      <c r="A6" s="6" t="s">
        <v>346</v>
      </c>
      <c r="B6" s="6"/>
      <c r="C6" s="6" t="s">
        <v>1182</v>
      </c>
      <c r="D6" s="6"/>
      <c r="E6" s="6"/>
      <c r="F6" s="6"/>
      <c r="G6" s="6"/>
      <c r="H6" s="324"/>
      <c r="I6" s="6"/>
    </row>
    <row r="7" spans="1:9" ht="23.25" customHeight="1">
      <c r="A7" s="6"/>
      <c r="B7" s="6"/>
      <c r="C7" s="6" t="s">
        <v>647</v>
      </c>
      <c r="D7" s="6"/>
      <c r="E7" s="6"/>
      <c r="F7" s="6"/>
      <c r="G7" s="6"/>
      <c r="H7" s="324"/>
      <c r="I7" s="6"/>
    </row>
    <row r="8" spans="1:9" ht="23.25" customHeight="1">
      <c r="A8" s="6"/>
      <c r="B8" s="6"/>
      <c r="C8" s="6"/>
      <c r="D8" s="6"/>
      <c r="E8" s="6"/>
      <c r="F8" s="6"/>
      <c r="G8" s="6"/>
      <c r="H8" s="324"/>
      <c r="I8" s="6"/>
    </row>
    <row r="9" spans="1:9" ht="23.25" customHeight="1">
      <c r="A9" s="6" t="s">
        <v>570</v>
      </c>
      <c r="B9" s="6"/>
      <c r="C9" s="6" t="s">
        <v>1183</v>
      </c>
      <c r="D9" s="6"/>
      <c r="E9" s="6"/>
      <c r="F9" s="6"/>
      <c r="G9" s="6"/>
      <c r="H9" s="324"/>
      <c r="I9" s="6"/>
    </row>
    <row r="10" spans="1:9" ht="23.25" customHeight="1">
      <c r="A10" s="6" t="s">
        <v>1175</v>
      </c>
      <c r="B10" s="6"/>
      <c r="C10" s="6" t="s">
        <v>1183</v>
      </c>
      <c r="D10" s="6"/>
      <c r="E10" s="6"/>
      <c r="F10" s="6"/>
      <c r="G10" s="6"/>
      <c r="H10" s="324"/>
      <c r="I10" s="6"/>
    </row>
    <row r="11" spans="1:9" ht="23.25" customHeight="1">
      <c r="A11" s="6" t="s">
        <v>1176</v>
      </c>
      <c r="B11" s="6"/>
      <c r="C11" s="6" t="s">
        <v>1183</v>
      </c>
      <c r="D11" s="6"/>
      <c r="E11" s="6"/>
      <c r="F11" s="6"/>
      <c r="G11" s="6"/>
      <c r="H11" s="324"/>
      <c r="I11" s="6"/>
    </row>
    <row r="12" spans="1:9" ht="23.25" customHeight="1">
      <c r="A12" s="6" t="s">
        <v>1177</v>
      </c>
      <c r="B12" s="6"/>
      <c r="C12" s="6" t="s">
        <v>505</v>
      </c>
      <c r="D12" s="6"/>
      <c r="E12" s="6"/>
      <c r="F12" s="6"/>
      <c r="G12" s="6"/>
      <c r="H12" s="324"/>
      <c r="I12" s="6"/>
    </row>
    <row r="13" spans="1:9" ht="23.25" customHeight="1">
      <c r="A13" s="6" t="s">
        <v>1178</v>
      </c>
      <c r="B13" s="6"/>
      <c r="C13" s="6" t="s">
        <v>309</v>
      </c>
      <c r="D13" s="6"/>
      <c r="E13" s="6"/>
      <c r="F13" s="6"/>
      <c r="G13" s="6"/>
      <c r="H13" s="324"/>
      <c r="I13" s="6"/>
    </row>
    <row r="14" spans="1:9" ht="23.25" customHeight="1">
      <c r="A14" s="6" t="s">
        <v>1179</v>
      </c>
      <c r="B14" s="6"/>
      <c r="C14" s="6" t="s">
        <v>314</v>
      </c>
      <c r="D14" s="6"/>
      <c r="E14" s="6"/>
      <c r="F14" s="6"/>
      <c r="G14" s="6"/>
      <c r="H14" s="324"/>
      <c r="I14" s="6"/>
    </row>
    <row r="15" spans="1:9" ht="23.25" customHeight="1">
      <c r="A15" s="6" t="s">
        <v>1180</v>
      </c>
      <c r="B15" s="6"/>
      <c r="C15" s="6" t="s">
        <v>84</v>
      </c>
      <c r="D15" s="6"/>
      <c r="E15" s="6"/>
      <c r="F15" s="6"/>
      <c r="G15" s="6"/>
      <c r="H15" s="324"/>
      <c r="I15" s="6"/>
    </row>
    <row r="16" spans="1:9" ht="23.25" customHeight="1">
      <c r="A16" s="6" t="s">
        <v>71</v>
      </c>
      <c r="B16" s="6"/>
      <c r="C16" s="6"/>
      <c r="D16" s="6"/>
      <c r="E16" s="6"/>
      <c r="F16" s="6"/>
      <c r="G16" s="6"/>
      <c r="H16" s="324"/>
      <c r="I16" s="6"/>
    </row>
    <row r="17" spans="1:9" ht="23.25" customHeight="1">
      <c r="A17" s="6" t="s">
        <v>1011</v>
      </c>
      <c r="B17" s="6"/>
      <c r="C17" s="324"/>
      <c r="D17" s="328"/>
      <c r="E17" s="327"/>
      <c r="F17" s="6"/>
      <c r="G17" s="6"/>
      <c r="H17" s="324"/>
      <c r="I17" s="6"/>
    </row>
    <row r="18" spans="1:9" ht="23.25" customHeight="1">
      <c r="A18" s="6" t="s">
        <v>1181</v>
      </c>
      <c r="B18" s="6"/>
      <c r="C18" s="324"/>
      <c r="D18" s="328"/>
      <c r="E18" s="327"/>
      <c r="F18" s="6"/>
      <c r="G18" s="6"/>
      <c r="H18" s="324"/>
      <c r="I18" s="6"/>
    </row>
    <row r="19" spans="1:9" ht="23.25" customHeight="1">
      <c r="A19" s="324"/>
      <c r="B19" s="327"/>
      <c r="C19" s="324"/>
      <c r="D19" s="328"/>
      <c r="E19" s="327"/>
      <c r="F19" s="6"/>
      <c r="G19" s="6"/>
      <c r="H19" s="324"/>
      <c r="I19" s="6"/>
    </row>
    <row r="20" spans="1:9" ht="23.25" customHeight="1">
      <c r="A20" s="324"/>
      <c r="B20" s="327"/>
      <c r="C20" s="324"/>
      <c r="D20" s="328"/>
      <c r="E20" s="327"/>
      <c r="F20" s="6"/>
      <c r="G20" s="6"/>
      <c r="H20" s="324"/>
      <c r="I20" s="6"/>
    </row>
    <row r="21" spans="1:9" ht="23.25" customHeight="1">
      <c r="A21" s="324"/>
      <c r="B21" s="327"/>
      <c r="C21" s="324"/>
      <c r="D21" s="328"/>
      <c r="E21" s="327"/>
      <c r="F21" s="6"/>
      <c r="G21" s="6"/>
      <c r="H21" s="324"/>
      <c r="I21" s="6"/>
    </row>
    <row r="22" spans="1:9" ht="23.25" customHeight="1">
      <c r="A22" s="325" t="s">
        <v>788</v>
      </c>
      <c r="B22" s="325"/>
      <c r="C22" s="325"/>
      <c r="D22" s="325"/>
      <c r="E22" s="325"/>
      <c r="F22" s="325"/>
      <c r="G22" s="325"/>
      <c r="H22" s="325"/>
      <c r="I22" s="325"/>
    </row>
    <row r="23" spans="1:9" ht="23.25" customHeight="1">
      <c r="A23" s="13" t="s">
        <v>651</v>
      </c>
      <c r="B23" s="13"/>
      <c r="C23" s="13"/>
      <c r="D23" s="13"/>
      <c r="E23" s="13"/>
      <c r="F23" s="13"/>
      <c r="G23" s="13"/>
      <c r="H23" s="13"/>
      <c r="I23" s="13"/>
    </row>
    <row r="24" spans="1:9" ht="23.25" customHeight="1">
      <c r="A24" s="13"/>
      <c r="B24" s="13" t="s">
        <v>480</v>
      </c>
      <c r="C24" s="13"/>
      <c r="D24" s="13"/>
      <c r="E24" s="13"/>
      <c r="F24" s="13"/>
      <c r="G24" s="13"/>
      <c r="H24" s="13"/>
      <c r="I24" s="13"/>
    </row>
    <row r="25" spans="1:9" ht="23.25" customHeight="1">
      <c r="A25" s="13"/>
      <c r="B25" s="13" t="s">
        <v>330</v>
      </c>
      <c r="C25" s="13"/>
      <c r="D25" s="13"/>
      <c r="E25" s="13"/>
      <c r="F25" s="13"/>
      <c r="G25" s="13"/>
      <c r="H25" s="13"/>
      <c r="I25" s="13"/>
    </row>
    <row r="26" spans="1:9">
      <c r="A26" s="13"/>
      <c r="B26" s="13"/>
      <c r="C26" s="13"/>
      <c r="D26" s="13"/>
      <c r="E26" s="13"/>
      <c r="F26" s="13"/>
      <c r="G26" s="13"/>
      <c r="H26" s="13"/>
      <c r="I26" s="13"/>
    </row>
    <row r="27" spans="1:9">
      <c r="A27" s="13"/>
      <c r="B27" s="13"/>
      <c r="C27" s="13"/>
      <c r="D27" s="13"/>
      <c r="E27" s="13"/>
      <c r="F27" s="13"/>
      <c r="G27" s="13"/>
      <c r="H27" s="13"/>
      <c r="I27" s="13"/>
    </row>
    <row r="28" spans="1:9">
      <c r="A28" s="13"/>
      <c r="B28" s="13"/>
      <c r="C28" s="13"/>
      <c r="D28" s="13"/>
      <c r="E28" s="13"/>
      <c r="F28" s="13"/>
      <c r="G28" s="13"/>
      <c r="H28" s="13"/>
      <c r="I28" s="13"/>
    </row>
    <row r="29" spans="1:9">
      <c r="A29" s="326"/>
      <c r="B29" s="326"/>
      <c r="C29" s="326"/>
      <c r="D29" s="326"/>
      <c r="E29" s="326"/>
      <c r="F29" s="326"/>
      <c r="G29" s="326"/>
      <c r="H29" s="326"/>
      <c r="I29" s="326"/>
    </row>
    <row r="30" spans="1:9">
      <c r="A30" t="s">
        <v>242</v>
      </c>
    </row>
    <row r="31" spans="1:9">
      <c r="B31" t="s">
        <v>45</v>
      </c>
    </row>
    <row r="32" spans="1:9">
      <c r="B32" t="s">
        <v>436</v>
      </c>
    </row>
    <row r="33" spans="1:2">
      <c r="A33" t="s">
        <v>244</v>
      </c>
    </row>
    <row r="34" spans="1:2">
      <c r="B34" t="s">
        <v>448</v>
      </c>
    </row>
    <row r="35" spans="1:2">
      <c r="B35" t="s">
        <v>441</v>
      </c>
    </row>
    <row r="36" spans="1:2">
      <c r="B36" t="s">
        <v>438</v>
      </c>
    </row>
    <row r="37" spans="1:2">
      <c r="B37" t="s">
        <v>268</v>
      </c>
    </row>
    <row r="39" spans="1:2">
      <c r="A39" t="s">
        <v>437</v>
      </c>
    </row>
    <row r="40" spans="1:2">
      <c r="B40" t="s">
        <v>444</v>
      </c>
    </row>
    <row r="41" spans="1:2">
      <c r="B41" t="s">
        <v>446</v>
      </c>
    </row>
    <row r="45" spans="1:2">
      <c r="A45" t="s">
        <v>246</v>
      </c>
    </row>
    <row r="46" spans="1:2">
      <c r="B46" t="s">
        <v>499</v>
      </c>
    </row>
    <row r="47" spans="1:2">
      <c r="B47" t="s">
        <v>33</v>
      </c>
    </row>
    <row r="48" spans="1:2">
      <c r="B48" t="s">
        <v>400</v>
      </c>
    </row>
  </sheetData>
  <mergeCells count="37">
    <mergeCell ref="A3:B3"/>
    <mergeCell ref="C3:E3"/>
    <mergeCell ref="A4:B4"/>
    <mergeCell ref="C4:E4"/>
    <mergeCell ref="A5:B5"/>
    <mergeCell ref="C5:E5"/>
    <mergeCell ref="A6:B6"/>
    <mergeCell ref="C6:E6"/>
    <mergeCell ref="A7:B7"/>
    <mergeCell ref="C7:E7"/>
    <mergeCell ref="A8:B8"/>
    <mergeCell ref="C8:E8"/>
    <mergeCell ref="C9:E9"/>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17:B17"/>
    <mergeCell ref="C17:E17"/>
    <mergeCell ref="A18:B18"/>
    <mergeCell ref="C18:E18"/>
    <mergeCell ref="A19:B19"/>
    <mergeCell ref="C19:E19"/>
    <mergeCell ref="A20:B20"/>
    <mergeCell ref="C20:E20"/>
    <mergeCell ref="A21:B21"/>
    <mergeCell ref="C21:E21"/>
  </mergeCells>
  <phoneticPr fontId="1"/>
  <pageMargins left="0.7" right="0.7" top="0.75" bottom="0.75" header="0.3" footer="0.3"/>
  <pageSetup paperSize="9" scale="60"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46"/>
  <sheetViews>
    <sheetView showGridLines="0" view="pageBreakPreview" topLeftCell="A10" zoomScaleNormal="130" zoomScaleSheetLayoutView="100" workbookViewId="0">
      <selection activeCell="H30" sqref="H30"/>
    </sheetView>
  </sheetViews>
  <sheetFormatPr defaultRowHeight="13.5"/>
  <cols>
    <col min="1" max="1" width="17.125" customWidth="1"/>
    <col min="2" max="7" width="15.5" customWidth="1"/>
    <col min="8" max="8" width="18.75" bestFit="1" customWidth="1"/>
    <col min="9" max="9" width="15.5" customWidth="1"/>
  </cols>
  <sheetData>
    <row r="1" spans="1:9" ht="21" customHeight="1">
      <c r="A1" s="44" t="s">
        <v>214</v>
      </c>
    </row>
    <row r="2" spans="1:9" ht="21" customHeight="1">
      <c r="A2" s="44" t="s">
        <v>280</v>
      </c>
    </row>
    <row r="3" spans="1:9" ht="23.25" customHeight="1">
      <c r="A3" s="51" t="s">
        <v>440</v>
      </c>
      <c r="B3" s="51" t="s">
        <v>473</v>
      </c>
      <c r="C3" s="51" t="s">
        <v>739</v>
      </c>
      <c r="D3" s="51" t="s">
        <v>742</v>
      </c>
      <c r="E3" s="51" t="s">
        <v>225</v>
      </c>
      <c r="F3" s="51" t="s">
        <v>590</v>
      </c>
      <c r="G3" s="51" t="s">
        <v>515</v>
      </c>
      <c r="H3" s="51" t="s">
        <v>169</v>
      </c>
      <c r="I3" s="215" t="s">
        <v>690</v>
      </c>
    </row>
    <row r="4" spans="1:9" ht="75.75" customHeight="1">
      <c r="A4" s="238" t="s">
        <v>1184</v>
      </c>
      <c r="B4" s="238" t="s">
        <v>1185</v>
      </c>
      <c r="C4" s="238" t="s">
        <v>1151</v>
      </c>
      <c r="D4" s="238" t="s">
        <v>248</v>
      </c>
      <c r="E4" s="238"/>
      <c r="F4" s="238"/>
      <c r="G4" s="238"/>
      <c r="H4" s="238" t="s">
        <v>1186</v>
      </c>
      <c r="I4" s="238"/>
    </row>
    <row r="5" spans="1:9" ht="75.75" customHeight="1">
      <c r="A5" s="2"/>
      <c r="B5" s="2"/>
      <c r="C5" s="2"/>
      <c r="D5" s="2"/>
      <c r="E5" s="2"/>
      <c r="F5" s="2"/>
      <c r="G5" s="2"/>
      <c r="H5" s="2"/>
      <c r="I5" s="2"/>
    </row>
    <row r="6" spans="1:9" ht="75.75" customHeight="1">
      <c r="A6" s="2"/>
      <c r="B6" s="2"/>
      <c r="C6" s="2"/>
      <c r="D6" s="2"/>
      <c r="E6" s="2"/>
      <c r="F6" s="2"/>
      <c r="G6" s="2"/>
      <c r="H6" s="2"/>
      <c r="I6" s="2"/>
    </row>
    <row r="7" spans="1:9" ht="75.75" customHeight="1">
      <c r="A7" s="2"/>
      <c r="B7" s="2"/>
      <c r="C7" s="2"/>
      <c r="D7" s="2"/>
      <c r="E7" s="2"/>
      <c r="F7" s="2"/>
      <c r="G7" s="2"/>
      <c r="H7" s="2"/>
      <c r="I7" s="2"/>
    </row>
    <row r="8" spans="1:9" ht="75.75" customHeight="1">
      <c r="A8" s="2"/>
      <c r="B8" s="2"/>
      <c r="C8" s="2"/>
      <c r="D8" s="2"/>
      <c r="E8" s="2"/>
      <c r="F8" s="2"/>
      <c r="G8" s="2"/>
      <c r="H8" s="2"/>
      <c r="I8" s="2"/>
    </row>
    <row r="9" spans="1:9">
      <c r="A9" s="325"/>
      <c r="C9" s="16"/>
      <c r="E9" s="16"/>
      <c r="I9" s="16"/>
    </row>
    <row r="10" spans="1:9">
      <c r="A10" s="13" t="s">
        <v>111</v>
      </c>
      <c r="B10" s="13"/>
      <c r="C10" s="13"/>
      <c r="D10" s="13"/>
      <c r="E10" s="13"/>
      <c r="F10" s="13"/>
      <c r="G10" s="13"/>
      <c r="H10" s="13"/>
      <c r="I10" s="13"/>
    </row>
    <row r="11" spans="1:9">
      <c r="A11" s="13" t="s">
        <v>896</v>
      </c>
      <c r="B11" s="13"/>
      <c r="C11" s="13"/>
      <c r="D11" s="13"/>
      <c r="E11" s="13"/>
      <c r="F11" s="13"/>
      <c r="G11" s="13"/>
      <c r="H11" s="13"/>
      <c r="I11" s="13"/>
    </row>
    <row r="12" spans="1:9">
      <c r="A12" s="13" t="s">
        <v>873</v>
      </c>
      <c r="B12" s="13"/>
      <c r="C12" s="13"/>
      <c r="D12" s="13"/>
      <c r="E12" s="13"/>
      <c r="F12" s="13"/>
      <c r="G12" s="13"/>
      <c r="H12" s="13"/>
      <c r="I12" s="13"/>
    </row>
    <row r="13" spans="1:9" ht="15" customHeight="1">
      <c r="A13" s="13" t="s">
        <v>874</v>
      </c>
      <c r="B13" s="13"/>
      <c r="C13" s="13"/>
      <c r="D13" s="13"/>
      <c r="E13" s="13"/>
      <c r="F13" s="13"/>
      <c r="G13" s="13"/>
      <c r="H13" s="13"/>
      <c r="I13" s="13"/>
    </row>
    <row r="14" spans="1:9" ht="15" customHeight="1">
      <c r="A14" s="13" t="s">
        <v>897</v>
      </c>
      <c r="B14" s="13"/>
      <c r="C14" s="13"/>
      <c r="D14" s="13"/>
      <c r="E14" s="13"/>
      <c r="F14" s="13"/>
      <c r="G14" s="13"/>
      <c r="H14" s="13"/>
      <c r="I14" s="13"/>
    </row>
    <row r="15" spans="1:9">
      <c r="A15" s="13" t="s">
        <v>898</v>
      </c>
      <c r="B15" s="13"/>
      <c r="C15" s="13"/>
      <c r="D15" s="13"/>
      <c r="E15" s="13"/>
      <c r="F15" s="13"/>
      <c r="G15" s="13"/>
      <c r="H15" s="13"/>
      <c r="I15" s="13"/>
    </row>
    <row r="16" spans="1:9">
      <c r="A16" s="13" t="s">
        <v>899</v>
      </c>
      <c r="B16" s="13"/>
      <c r="C16" s="13"/>
      <c r="D16" s="13"/>
      <c r="E16" s="13"/>
      <c r="F16" s="13"/>
      <c r="G16" s="13"/>
      <c r="H16" s="13"/>
      <c r="I16" s="13"/>
    </row>
    <row r="17" spans="1:9">
      <c r="A17" s="13"/>
      <c r="B17" s="13"/>
      <c r="C17" s="13"/>
      <c r="D17" s="13"/>
      <c r="E17" s="13"/>
      <c r="F17" s="13"/>
      <c r="G17" s="13"/>
      <c r="H17" s="13"/>
      <c r="I17" s="13"/>
    </row>
    <row r="18" spans="1:9" ht="14.25">
      <c r="A18" s="43" t="s">
        <v>553</v>
      </c>
      <c r="B18" s="43"/>
      <c r="C18" s="13"/>
      <c r="D18" s="13"/>
      <c r="E18" s="13"/>
      <c r="F18" s="13"/>
      <c r="G18" s="13"/>
      <c r="H18" s="13"/>
      <c r="I18" s="13"/>
    </row>
    <row r="19" spans="1:9" ht="14.25">
      <c r="A19" s="43"/>
      <c r="B19" s="43"/>
      <c r="C19" s="13"/>
      <c r="D19" s="13"/>
      <c r="E19" s="13"/>
      <c r="F19" s="13"/>
      <c r="G19" s="13"/>
      <c r="H19" s="13"/>
      <c r="I19" s="13"/>
    </row>
    <row r="20" spans="1:9" ht="14.25">
      <c r="A20" s="43"/>
      <c r="B20" s="13" t="s">
        <v>38</v>
      </c>
      <c r="C20" s="13"/>
      <c r="D20" s="13"/>
      <c r="E20" s="13"/>
      <c r="F20" s="13"/>
      <c r="G20" s="13"/>
      <c r="H20" s="13"/>
      <c r="I20" s="13"/>
    </row>
    <row r="21" spans="1:9" ht="14.25">
      <c r="A21" s="43"/>
      <c r="B21" s="13" t="s">
        <v>875</v>
      </c>
      <c r="C21" s="13"/>
      <c r="D21" s="13"/>
      <c r="E21" s="13"/>
      <c r="F21" s="13"/>
      <c r="G21" s="13"/>
      <c r="H21" s="13"/>
      <c r="I21" s="13"/>
    </row>
    <row r="22" spans="1:9" ht="14.25">
      <c r="A22" s="43"/>
      <c r="B22" s="13" t="s">
        <v>876</v>
      </c>
      <c r="C22" s="13"/>
      <c r="D22" s="13"/>
      <c r="E22" s="13"/>
      <c r="F22" s="13"/>
      <c r="G22" s="13"/>
      <c r="H22" s="13"/>
      <c r="I22" s="13"/>
    </row>
    <row r="23" spans="1:9" ht="14.25">
      <c r="A23" s="43"/>
      <c r="B23" s="13" t="s">
        <v>877</v>
      </c>
      <c r="C23" s="13"/>
      <c r="D23" s="13"/>
      <c r="E23" s="13"/>
      <c r="F23" s="13"/>
      <c r="G23" s="13"/>
      <c r="H23" s="13"/>
      <c r="I23" s="13"/>
    </row>
    <row r="24" spans="1:9" ht="14.25">
      <c r="A24" s="43"/>
      <c r="B24" s="13" t="s">
        <v>234</v>
      </c>
      <c r="C24" s="13"/>
      <c r="D24" s="13"/>
      <c r="E24" s="13"/>
      <c r="F24" s="13"/>
      <c r="G24" s="13"/>
      <c r="H24" s="13"/>
      <c r="I24" s="13"/>
    </row>
    <row r="25" spans="1:9" ht="14.25">
      <c r="A25" s="43"/>
      <c r="B25" s="13" t="s">
        <v>879</v>
      </c>
      <c r="C25" s="13"/>
      <c r="D25" s="13"/>
      <c r="E25" s="13"/>
      <c r="F25" s="13"/>
      <c r="G25" s="13"/>
      <c r="H25" s="13"/>
      <c r="I25" s="13"/>
    </row>
    <row r="26" spans="1:9" ht="14.25">
      <c r="A26" s="43"/>
      <c r="B26" s="13" t="s">
        <v>265</v>
      </c>
      <c r="C26" s="13"/>
      <c r="D26" s="13"/>
      <c r="E26" s="13"/>
      <c r="F26" s="13"/>
      <c r="G26" s="13"/>
      <c r="H26" s="13"/>
      <c r="I26" s="13"/>
    </row>
    <row r="27" spans="1:9">
      <c r="A27" s="13"/>
      <c r="B27" s="13"/>
      <c r="C27" s="13"/>
      <c r="D27" s="13"/>
      <c r="E27" s="13"/>
      <c r="F27" s="13"/>
      <c r="G27" s="13"/>
      <c r="H27" s="13"/>
      <c r="I27" s="13"/>
    </row>
    <row r="28" spans="1:9" ht="14.25">
      <c r="A28" s="43" t="s">
        <v>692</v>
      </c>
      <c r="B28" s="43"/>
      <c r="C28" s="13"/>
      <c r="D28" s="13"/>
      <c r="E28" s="13"/>
      <c r="F28" s="13"/>
      <c r="G28" s="13"/>
      <c r="H28" s="13"/>
      <c r="I28" s="13"/>
    </row>
    <row r="29" spans="1:9" ht="14.25">
      <c r="A29" s="329" t="s">
        <v>204</v>
      </c>
      <c r="B29" s="329"/>
      <c r="C29" s="326"/>
      <c r="D29" s="326"/>
      <c r="E29" s="326"/>
      <c r="F29" s="326"/>
      <c r="G29" s="326"/>
      <c r="H29" s="326"/>
      <c r="I29" s="326"/>
    </row>
    <row r="30" spans="1:9" ht="14.25">
      <c r="A30" s="43"/>
      <c r="B30" s="43"/>
    </row>
    <row r="31" spans="1:9">
      <c r="B31" t="s">
        <v>675</v>
      </c>
    </row>
    <row r="32" spans="1:9">
      <c r="B32" t="s">
        <v>677</v>
      </c>
    </row>
    <row r="34" spans="2:2">
      <c r="B34" t="s">
        <v>282</v>
      </c>
    </row>
    <row r="35" spans="2:2">
      <c r="B35" t="s">
        <v>665</v>
      </c>
    </row>
    <row r="36" spans="2:2">
      <c r="B36" t="s">
        <v>666</v>
      </c>
    </row>
    <row r="37" spans="2:2">
      <c r="B37" t="s">
        <v>567</v>
      </c>
    </row>
    <row r="38" spans="2:2">
      <c r="B38" t="s">
        <v>184</v>
      </c>
    </row>
    <row r="39" spans="2:2">
      <c r="B39" t="s">
        <v>36</v>
      </c>
    </row>
    <row r="40" spans="2:2">
      <c r="B40" t="s">
        <v>667</v>
      </c>
    </row>
    <row r="41" spans="2:2">
      <c r="B41" t="s">
        <v>484</v>
      </c>
    </row>
    <row r="42" spans="2:2">
      <c r="B42" t="s">
        <v>40</v>
      </c>
    </row>
    <row r="43" spans="2:2">
      <c r="B43" t="s">
        <v>670</v>
      </c>
    </row>
    <row r="44" spans="2:2">
      <c r="B44" t="s">
        <v>427</v>
      </c>
    </row>
    <row r="45" spans="2:2">
      <c r="B45" t="s">
        <v>673</v>
      </c>
    </row>
    <row r="46" spans="2:2">
      <c r="B46" t="s">
        <v>333</v>
      </c>
    </row>
  </sheetData>
  <phoneticPr fontId="1"/>
  <pageMargins left="0.7" right="0.7" top="0.75" bottom="0.75" header="0.3" footer="0.3"/>
  <pageSetup paperSize="9" scale="55"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FF00"/>
  </sheetPr>
  <dimension ref="A1:N62"/>
  <sheetViews>
    <sheetView showGridLines="0" view="pageBreakPreview" topLeftCell="A19" zoomScale="85" zoomScaleSheetLayoutView="85" workbookViewId="0">
      <selection activeCell="G38" sqref="G38"/>
    </sheetView>
  </sheetViews>
  <sheetFormatPr defaultRowHeight="13.5"/>
  <cols>
    <col min="2" max="2" width="14.375" customWidth="1"/>
    <col min="3" max="3" width="17.75" customWidth="1"/>
    <col min="4" max="4" width="14.375" customWidth="1"/>
    <col min="5" max="5" width="19.5" customWidth="1"/>
    <col min="6" max="9" width="14.375" customWidth="1"/>
    <col min="10" max="10" width="15.75" customWidth="1"/>
    <col min="11" max="11" width="14.25" customWidth="1"/>
    <col min="16" max="16" width="2.125" customWidth="1"/>
  </cols>
  <sheetData>
    <row r="1" spans="1:14" ht="14.25">
      <c r="A1" s="43" t="s">
        <v>520</v>
      </c>
    </row>
    <row r="2" spans="1:14" ht="14.25">
      <c r="A2" s="43" t="s">
        <v>715</v>
      </c>
    </row>
    <row r="3" spans="1:14">
      <c r="A3" s="66" t="s">
        <v>688</v>
      </c>
      <c r="B3" s="66" t="s">
        <v>0</v>
      </c>
      <c r="C3" s="66" t="s">
        <v>359</v>
      </c>
      <c r="D3" s="66" t="s">
        <v>627</v>
      </c>
      <c r="E3" s="66" t="s">
        <v>789</v>
      </c>
      <c r="F3" s="66" t="s">
        <v>105</v>
      </c>
      <c r="G3" s="66" t="s">
        <v>590</v>
      </c>
      <c r="H3" s="66" t="s">
        <v>694</v>
      </c>
      <c r="I3" s="66" t="s">
        <v>719</v>
      </c>
      <c r="J3" t="s">
        <v>247</v>
      </c>
      <c r="K3" t="s">
        <v>465</v>
      </c>
    </row>
    <row r="4" spans="1:14">
      <c r="A4" s="2"/>
      <c r="B4" s="2"/>
      <c r="C4" s="2"/>
      <c r="D4" s="2"/>
      <c r="E4" s="2"/>
      <c r="F4" s="2"/>
      <c r="G4" s="2"/>
      <c r="H4" s="2"/>
      <c r="I4" s="2"/>
      <c r="K4" t="s">
        <v>451</v>
      </c>
    </row>
    <row r="5" spans="1:14">
      <c r="A5" s="2"/>
      <c r="B5" s="2"/>
      <c r="C5" s="2"/>
      <c r="D5" s="2"/>
      <c r="E5" s="2"/>
      <c r="F5" s="2"/>
      <c r="G5" s="2"/>
      <c r="H5" s="2"/>
      <c r="I5" s="2"/>
      <c r="K5" t="s">
        <v>162</v>
      </c>
    </row>
    <row r="6" spans="1:14">
      <c r="A6" s="2"/>
      <c r="B6" s="2"/>
      <c r="C6" s="2"/>
      <c r="D6" s="2"/>
      <c r="E6" s="2"/>
      <c r="F6" s="2"/>
      <c r="G6" s="2"/>
      <c r="H6" s="2"/>
      <c r="I6" s="2"/>
      <c r="K6" t="s">
        <v>453</v>
      </c>
    </row>
    <row r="7" spans="1:14">
      <c r="A7" s="2"/>
      <c r="B7" s="2"/>
      <c r="C7" s="2"/>
      <c r="D7" s="2"/>
      <c r="E7" s="2"/>
      <c r="F7" s="2"/>
      <c r="G7" s="2"/>
      <c r="H7" s="2"/>
      <c r="I7" s="2"/>
    </row>
    <row r="8" spans="1:14">
      <c r="C8" s="16"/>
      <c r="D8" s="16"/>
      <c r="E8" s="16"/>
      <c r="F8" s="16"/>
      <c r="G8" s="16"/>
      <c r="H8" s="16"/>
      <c r="I8" s="16"/>
    </row>
    <row r="9" spans="1:14">
      <c r="A9" s="44" t="s">
        <v>714</v>
      </c>
      <c r="B9" s="44"/>
    </row>
    <row r="10" spans="1:14">
      <c r="A10" s="66" t="s">
        <v>389</v>
      </c>
      <c r="B10" s="66" t="s">
        <v>703</v>
      </c>
      <c r="C10" s="66" t="s">
        <v>249</v>
      </c>
      <c r="D10" s="66" t="s">
        <v>548</v>
      </c>
      <c r="E10" s="66" t="s">
        <v>591</v>
      </c>
      <c r="F10" s="66" t="s">
        <v>105</v>
      </c>
      <c r="G10" s="66" t="s">
        <v>590</v>
      </c>
      <c r="H10" s="66" t="s">
        <v>694</v>
      </c>
      <c r="I10" s="66" t="s">
        <v>719</v>
      </c>
      <c r="J10" t="s">
        <v>11</v>
      </c>
    </row>
    <row r="11" spans="1:14">
      <c r="A11" s="2"/>
      <c r="B11" s="2"/>
      <c r="C11" s="2"/>
      <c r="D11" s="2"/>
      <c r="E11" s="2"/>
      <c r="F11" s="2"/>
      <c r="G11" s="2"/>
      <c r="H11" s="2"/>
      <c r="I11" s="2"/>
      <c r="K11" t="s">
        <v>458</v>
      </c>
    </row>
    <row r="12" spans="1:14">
      <c r="A12" s="2"/>
      <c r="B12" s="2"/>
      <c r="C12" s="2"/>
      <c r="D12" s="2"/>
      <c r="E12" s="2"/>
      <c r="F12" s="2"/>
      <c r="G12" s="2"/>
      <c r="H12" s="2"/>
      <c r="I12" s="2"/>
      <c r="K12" t="s">
        <v>464</v>
      </c>
    </row>
    <row r="13" spans="1:14">
      <c r="A13" s="2"/>
      <c r="B13" s="2"/>
      <c r="C13" s="2"/>
      <c r="D13" s="2"/>
      <c r="E13" s="2"/>
      <c r="F13" s="2"/>
      <c r="G13" s="2"/>
      <c r="H13" s="2"/>
      <c r="I13" s="2"/>
      <c r="K13" t="s">
        <v>203</v>
      </c>
    </row>
    <row r="14" spans="1:14">
      <c r="A14" s="2"/>
      <c r="B14" s="2"/>
      <c r="C14" s="2"/>
      <c r="D14" s="2"/>
      <c r="E14" s="2"/>
      <c r="F14" s="2"/>
      <c r="G14" s="2"/>
      <c r="H14" s="2"/>
      <c r="I14" s="2"/>
    </row>
    <row r="15" spans="1:14">
      <c r="A15" s="2"/>
      <c r="B15" s="2"/>
      <c r="C15" s="2"/>
      <c r="D15" s="2"/>
      <c r="E15" s="2"/>
      <c r="F15" s="2"/>
      <c r="G15" s="2"/>
      <c r="H15" s="2"/>
      <c r="I15" s="2"/>
      <c r="J15" t="s">
        <v>426</v>
      </c>
    </row>
    <row r="16" spans="1:14">
      <c r="A16" s="13"/>
      <c r="B16" s="13"/>
      <c r="C16" s="16"/>
      <c r="D16" s="16"/>
      <c r="E16" s="16"/>
      <c r="F16" s="16"/>
      <c r="G16" s="16"/>
      <c r="H16" s="16"/>
      <c r="I16" s="16"/>
      <c r="K16" t="s">
        <v>468</v>
      </c>
      <c r="M16" s="16"/>
      <c r="N16" s="16"/>
    </row>
    <row r="17" spans="1:11">
      <c r="A17" s="44" t="s">
        <v>150</v>
      </c>
      <c r="B17" s="44"/>
      <c r="C17" s="13"/>
      <c r="D17" s="13"/>
      <c r="E17" s="13"/>
      <c r="F17" s="13"/>
      <c r="G17" s="13"/>
      <c r="H17" s="13"/>
      <c r="I17" s="13"/>
      <c r="K17" t="s">
        <v>291</v>
      </c>
    </row>
    <row r="18" spans="1:11">
      <c r="A18" s="322" t="s">
        <v>57</v>
      </c>
      <c r="B18" s="322" t="s">
        <v>324</v>
      </c>
      <c r="C18" s="322" t="s">
        <v>249</v>
      </c>
      <c r="D18" s="322" t="s">
        <v>548</v>
      </c>
      <c r="E18" s="322" t="s">
        <v>720</v>
      </c>
      <c r="F18" s="322" t="s">
        <v>718</v>
      </c>
      <c r="G18" s="322" t="s">
        <v>590</v>
      </c>
      <c r="H18" s="322" t="s">
        <v>694</v>
      </c>
      <c r="I18" s="322" t="s">
        <v>276</v>
      </c>
      <c r="K18" t="s">
        <v>474</v>
      </c>
    </row>
    <row r="19" spans="1:11">
      <c r="A19" s="239"/>
      <c r="B19" s="239"/>
      <c r="C19" s="239"/>
      <c r="D19" s="239"/>
      <c r="E19" s="239"/>
      <c r="F19" s="239"/>
      <c r="G19" s="239"/>
      <c r="H19" s="239"/>
      <c r="I19" s="239"/>
      <c r="K19" t="s">
        <v>475</v>
      </c>
    </row>
    <row r="20" spans="1:11">
      <c r="A20" s="239"/>
      <c r="B20" s="239"/>
      <c r="C20" s="239"/>
      <c r="D20" s="239"/>
      <c r="E20" s="239"/>
      <c r="F20" s="239"/>
      <c r="G20" s="239"/>
      <c r="H20" s="239"/>
      <c r="I20" s="239"/>
      <c r="K20" t="s">
        <v>477</v>
      </c>
    </row>
    <row r="21" spans="1:11">
      <c r="A21" s="239"/>
      <c r="B21" s="239"/>
      <c r="C21" s="239"/>
      <c r="D21" s="239"/>
      <c r="E21" s="239"/>
      <c r="F21" s="239"/>
      <c r="G21" s="239"/>
      <c r="H21" s="239"/>
      <c r="I21" s="239"/>
    </row>
    <row r="22" spans="1:11">
      <c r="A22" s="239"/>
      <c r="B22" s="239"/>
      <c r="C22" s="239"/>
      <c r="D22" s="239"/>
      <c r="E22" s="239"/>
      <c r="F22" s="239"/>
      <c r="G22" s="239"/>
      <c r="H22" s="239"/>
      <c r="I22" s="239"/>
      <c r="J22" t="s">
        <v>478</v>
      </c>
    </row>
    <row r="23" spans="1:11">
      <c r="A23" s="239"/>
      <c r="B23" s="239"/>
      <c r="C23" s="239"/>
      <c r="D23" s="239"/>
      <c r="E23" s="239"/>
      <c r="F23" s="239"/>
      <c r="G23" s="239"/>
      <c r="H23" s="239"/>
      <c r="I23" s="239"/>
      <c r="K23" t="s">
        <v>454</v>
      </c>
    </row>
    <row r="24" spans="1:11">
      <c r="A24" s="13"/>
      <c r="B24" s="13"/>
      <c r="C24" s="13"/>
      <c r="D24" s="13"/>
      <c r="E24" s="13"/>
      <c r="F24" s="13"/>
      <c r="G24" s="13"/>
      <c r="H24" s="13"/>
      <c r="I24" s="13"/>
      <c r="K24" t="s">
        <v>734</v>
      </c>
    </row>
    <row r="25" spans="1:11">
      <c r="A25" s="44" t="s">
        <v>661</v>
      </c>
      <c r="B25" s="13"/>
      <c r="C25" s="13"/>
      <c r="D25" s="13"/>
      <c r="E25" s="13"/>
      <c r="F25" s="13"/>
      <c r="G25" s="13"/>
      <c r="H25" s="13"/>
      <c r="I25" s="13"/>
      <c r="K25" t="s">
        <v>735</v>
      </c>
    </row>
    <row r="26" spans="1:11">
      <c r="A26" s="322" t="s">
        <v>657</v>
      </c>
      <c r="B26" s="322" t="s">
        <v>685</v>
      </c>
      <c r="C26" s="322" t="s">
        <v>721</v>
      </c>
      <c r="D26" s="322" t="s">
        <v>583</v>
      </c>
      <c r="E26" s="322" t="s">
        <v>723</v>
      </c>
      <c r="F26" s="322" t="s">
        <v>299</v>
      </c>
      <c r="G26" s="322" t="s">
        <v>590</v>
      </c>
      <c r="H26" s="330" t="s">
        <v>719</v>
      </c>
      <c r="I26" s="332"/>
    </row>
    <row r="27" spans="1:11">
      <c r="A27" s="239"/>
      <c r="B27" s="239"/>
      <c r="C27" s="239"/>
      <c r="D27" s="239"/>
      <c r="E27" s="239"/>
      <c r="F27" s="239"/>
      <c r="G27" s="239"/>
      <c r="H27" s="331"/>
      <c r="I27" s="333"/>
      <c r="J27" t="s">
        <v>250</v>
      </c>
    </row>
    <row r="28" spans="1:11">
      <c r="A28" s="239"/>
      <c r="B28" s="239"/>
      <c r="C28" s="239"/>
      <c r="D28" s="239"/>
      <c r="E28" s="239"/>
      <c r="F28" s="239"/>
      <c r="G28" s="239"/>
      <c r="H28" s="331"/>
      <c r="I28" s="333"/>
    </row>
    <row r="29" spans="1:11">
      <c r="A29" s="239"/>
      <c r="B29" s="239"/>
      <c r="C29" s="239"/>
      <c r="D29" s="239"/>
      <c r="E29" s="239"/>
      <c r="F29" s="239"/>
      <c r="G29" s="239"/>
      <c r="H29" s="331"/>
      <c r="I29" s="333"/>
    </row>
    <row r="30" spans="1:11">
      <c r="A30" s="239"/>
      <c r="B30" s="239"/>
      <c r="C30" s="239"/>
      <c r="D30" s="239"/>
      <c r="E30" s="239"/>
      <c r="F30" s="239"/>
      <c r="G30" s="239"/>
      <c r="H30" s="331"/>
      <c r="I30" s="333"/>
      <c r="J30" t="s">
        <v>626</v>
      </c>
    </row>
    <row r="31" spans="1:11">
      <c r="K31" t="s">
        <v>638</v>
      </c>
    </row>
    <row r="32" spans="1:11">
      <c r="A32" t="s">
        <v>238</v>
      </c>
      <c r="K32" t="s">
        <v>736</v>
      </c>
    </row>
    <row r="33" spans="1:11">
      <c r="A33" t="s">
        <v>122</v>
      </c>
    </row>
    <row r="34" spans="1:11">
      <c r="A34" t="s">
        <v>247</v>
      </c>
      <c r="B34" t="s">
        <v>465</v>
      </c>
    </row>
    <row r="35" spans="1:11">
      <c r="B35" t="s">
        <v>451</v>
      </c>
      <c r="K35" t="s">
        <v>679</v>
      </c>
    </row>
    <row r="36" spans="1:11">
      <c r="B36" t="s">
        <v>162</v>
      </c>
      <c r="K36" t="s">
        <v>352</v>
      </c>
    </row>
    <row r="37" spans="1:11">
      <c r="B37" t="s">
        <v>453</v>
      </c>
      <c r="K37" t="s">
        <v>681</v>
      </c>
    </row>
    <row r="38" spans="1:11">
      <c r="K38" t="s">
        <v>308</v>
      </c>
    </row>
    <row r="39" spans="1:11">
      <c r="K39" t="s">
        <v>686</v>
      </c>
    </row>
    <row r="40" spans="1:11">
      <c r="A40" t="s">
        <v>11</v>
      </c>
    </row>
    <row r="41" spans="1:11">
      <c r="B41" t="s">
        <v>458</v>
      </c>
    </row>
    <row r="42" spans="1:11">
      <c r="B42" t="s">
        <v>464</v>
      </c>
    </row>
    <row r="43" spans="1:11">
      <c r="B43" t="s">
        <v>203</v>
      </c>
    </row>
    <row r="45" spans="1:11">
      <c r="A45" t="s">
        <v>426</v>
      </c>
    </row>
    <row r="46" spans="1:11">
      <c r="B46" t="s">
        <v>468</v>
      </c>
    </row>
    <row r="47" spans="1:11">
      <c r="B47" t="s">
        <v>291</v>
      </c>
    </row>
    <row r="48" spans="1:11">
      <c r="B48" t="s">
        <v>474</v>
      </c>
    </row>
    <row r="49" spans="1:2">
      <c r="B49" t="s">
        <v>475</v>
      </c>
    </row>
    <row r="50" spans="1:2">
      <c r="B50" t="s">
        <v>477</v>
      </c>
    </row>
    <row r="52" spans="1:2">
      <c r="A52" t="s">
        <v>478</v>
      </c>
    </row>
    <row r="53" spans="1:2">
      <c r="B53" t="s">
        <v>454</v>
      </c>
    </row>
    <row r="54" spans="1:2">
      <c r="B54" t="s">
        <v>734</v>
      </c>
    </row>
    <row r="55" spans="1:2">
      <c r="B55" t="s">
        <v>735</v>
      </c>
    </row>
    <row r="57" spans="1:2">
      <c r="A57" t="s">
        <v>250</v>
      </c>
    </row>
    <row r="60" spans="1:2">
      <c r="A60" t="s">
        <v>626</v>
      </c>
    </row>
    <row r="61" spans="1:2">
      <c r="B61" t="s">
        <v>638</v>
      </c>
    </row>
    <row r="62" spans="1:2">
      <c r="B62" t="s">
        <v>736</v>
      </c>
    </row>
  </sheetData>
  <mergeCells count="1">
    <mergeCell ref="H26:I26"/>
  </mergeCells>
  <phoneticPr fontId="1"/>
  <pageMargins left="0.70866141732283472" right="0.70866141732283472" top="0.74803149606299213" bottom="0.74803149606299213" header="0.31496062992125984" footer="0.31496062992125984"/>
  <pageSetup paperSize="9" scale="61" fitToWidth="1" fitToHeight="2"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Q43"/>
  <sheetViews>
    <sheetView showGridLines="0" view="pageBreakPreview" zoomScale="60" workbookViewId="0">
      <selection activeCell="I21" sqref="I21"/>
    </sheetView>
  </sheetViews>
  <sheetFormatPr defaultRowHeight="13.5"/>
  <cols>
    <col min="1" max="16" width="18.375" customWidth="1"/>
  </cols>
  <sheetData>
    <row r="1" spans="1:17" ht="14.25">
      <c r="A1" s="43" t="s">
        <v>8</v>
      </c>
      <c r="F1" s="296"/>
    </row>
    <row r="2" spans="1:17" s="16" customFormat="1" ht="32.25" customHeight="1">
      <c r="A2" s="334" t="s">
        <v>366</v>
      </c>
      <c r="B2" s="335" t="s">
        <v>440</v>
      </c>
      <c r="C2" s="334" t="s">
        <v>473</v>
      </c>
      <c r="D2" s="334" t="s">
        <v>75</v>
      </c>
      <c r="E2" s="334" t="s">
        <v>373</v>
      </c>
      <c r="F2" s="335" t="s">
        <v>653</v>
      </c>
      <c r="G2" s="334" t="s">
        <v>154</v>
      </c>
      <c r="H2" s="335" t="s">
        <v>102</v>
      </c>
      <c r="I2" s="334" t="s">
        <v>287</v>
      </c>
      <c r="J2" s="334" t="s">
        <v>880</v>
      </c>
      <c r="K2" s="334" t="s">
        <v>422</v>
      </c>
      <c r="L2" s="334" t="s">
        <v>587</v>
      </c>
      <c r="M2" s="334" t="s">
        <v>655</v>
      </c>
      <c r="N2" s="334" t="s">
        <v>656</v>
      </c>
      <c r="O2" s="335" t="s">
        <v>300</v>
      </c>
      <c r="P2" s="334" t="s">
        <v>584</v>
      </c>
      <c r="Q2" s="337" t="s">
        <v>350</v>
      </c>
    </row>
    <row r="3" spans="1:17" ht="42" customHeight="1">
      <c r="A3" s="2"/>
      <c r="B3" s="72"/>
      <c r="C3" s="238"/>
      <c r="D3" s="2"/>
      <c r="E3" s="2"/>
      <c r="F3" s="238"/>
      <c r="G3" s="238"/>
      <c r="H3" s="72"/>
      <c r="I3" s="2"/>
      <c r="J3" s="336"/>
      <c r="K3" s="2"/>
      <c r="L3" s="336"/>
      <c r="M3" s="336"/>
      <c r="N3" s="2"/>
      <c r="O3" s="2"/>
      <c r="P3" s="238"/>
    </row>
    <row r="4" spans="1:17" ht="33.75" customHeight="1">
      <c r="A4" s="2"/>
      <c r="B4" s="2"/>
      <c r="C4" s="2"/>
      <c r="D4" s="2"/>
      <c r="E4" s="2"/>
      <c r="F4" s="2"/>
      <c r="G4" s="2"/>
      <c r="H4" s="2"/>
      <c r="I4" s="2"/>
      <c r="J4" s="2"/>
      <c r="K4" s="2"/>
      <c r="L4" s="2"/>
      <c r="M4" s="2"/>
      <c r="N4" s="2"/>
      <c r="O4" s="2"/>
      <c r="P4" s="2"/>
    </row>
    <row r="5" spans="1:17" ht="33.75" customHeight="1">
      <c r="A5" s="2"/>
      <c r="B5" s="2"/>
      <c r="C5" s="2"/>
      <c r="D5" s="2"/>
      <c r="E5" s="2"/>
      <c r="F5" s="2"/>
      <c r="G5" s="2"/>
      <c r="H5" s="2"/>
      <c r="I5" s="2"/>
      <c r="J5" s="2"/>
      <c r="K5" s="2"/>
      <c r="L5" s="2"/>
      <c r="M5" s="2"/>
      <c r="N5" s="2"/>
      <c r="O5" s="2"/>
      <c r="P5" s="2"/>
    </row>
    <row r="6" spans="1:17" ht="33.75" customHeight="1">
      <c r="A6" s="2"/>
      <c r="B6" s="2"/>
      <c r="C6" s="2"/>
      <c r="D6" s="2"/>
      <c r="E6" s="2"/>
      <c r="F6" s="2"/>
      <c r="G6" s="2"/>
      <c r="H6" s="2"/>
      <c r="I6" s="2"/>
      <c r="J6" s="2"/>
      <c r="K6" s="2"/>
      <c r="L6" s="2"/>
      <c r="M6" s="2"/>
      <c r="N6" s="2"/>
      <c r="O6" s="2"/>
      <c r="P6" s="2"/>
    </row>
    <row r="7" spans="1:17" ht="33.75" customHeight="1">
      <c r="A7" s="2"/>
      <c r="B7" s="2"/>
      <c r="C7" s="2"/>
      <c r="D7" s="2"/>
      <c r="E7" s="2"/>
      <c r="F7" s="2"/>
      <c r="G7" s="2"/>
      <c r="H7" s="2"/>
      <c r="I7" s="2"/>
      <c r="J7" s="2"/>
      <c r="K7" s="2"/>
      <c r="L7" s="2"/>
      <c r="M7" s="2"/>
      <c r="N7" s="2"/>
      <c r="O7" s="2"/>
      <c r="P7" s="2"/>
    </row>
    <row r="8" spans="1:17" ht="33.75" customHeight="1">
      <c r="A8" s="2"/>
      <c r="B8" s="2"/>
      <c r="C8" s="2"/>
      <c r="D8" s="2"/>
      <c r="E8" s="2"/>
      <c r="F8" s="2"/>
      <c r="G8" s="2"/>
      <c r="H8" s="2"/>
      <c r="I8" s="2"/>
      <c r="J8" s="2"/>
      <c r="K8" s="2"/>
      <c r="L8" s="2"/>
      <c r="M8" s="2"/>
      <c r="N8" s="2"/>
      <c r="O8" s="2"/>
      <c r="P8" s="2"/>
    </row>
    <row r="9" spans="1:17" ht="33.75" customHeight="1">
      <c r="A9" s="2"/>
      <c r="B9" s="2"/>
      <c r="C9" s="2"/>
      <c r="D9" s="2"/>
      <c r="E9" s="2"/>
      <c r="F9" s="2"/>
      <c r="G9" s="2"/>
      <c r="H9" s="2"/>
      <c r="I9" s="2"/>
      <c r="J9" s="2"/>
      <c r="K9" s="2"/>
      <c r="L9" s="2"/>
      <c r="M9" s="2"/>
      <c r="N9" s="2"/>
      <c r="O9" s="2"/>
      <c r="P9" s="2"/>
    </row>
    <row r="10" spans="1:17" ht="33.75" customHeight="1">
      <c r="A10" s="239"/>
      <c r="B10" s="239"/>
      <c r="C10" s="239"/>
      <c r="D10" s="239"/>
      <c r="E10" s="239"/>
      <c r="F10" s="239"/>
      <c r="G10" s="239"/>
      <c r="H10" s="239"/>
      <c r="I10" s="239"/>
      <c r="J10" s="2"/>
      <c r="K10" s="2"/>
      <c r="L10" s="2"/>
      <c r="M10" s="2"/>
      <c r="N10" s="2"/>
      <c r="O10" s="2"/>
      <c r="P10" s="2"/>
    </row>
    <row r="11" spans="1:17" ht="33.75" customHeight="1">
      <c r="A11" s="239"/>
      <c r="B11" s="239"/>
      <c r="C11" s="239"/>
      <c r="D11" s="239"/>
      <c r="E11" s="239"/>
      <c r="F11" s="239"/>
      <c r="G11" s="239"/>
      <c r="H11" s="239"/>
      <c r="I11" s="239"/>
      <c r="J11" s="2"/>
      <c r="K11" s="2"/>
      <c r="L11" s="2"/>
      <c r="M11" s="2"/>
      <c r="N11" s="2"/>
      <c r="O11" s="2"/>
      <c r="P11" s="2"/>
    </row>
    <row r="12" spans="1:17" ht="33.75" customHeight="1">
      <c r="A12" s="239"/>
      <c r="B12" s="239"/>
      <c r="C12" s="239"/>
      <c r="D12" s="239"/>
      <c r="E12" s="239"/>
      <c r="F12" s="239"/>
      <c r="G12" s="239"/>
      <c r="H12" s="239"/>
      <c r="I12" s="239"/>
      <c r="J12" s="2"/>
      <c r="K12" s="2"/>
      <c r="L12" s="2"/>
      <c r="M12" s="2"/>
      <c r="N12" s="2"/>
      <c r="O12" s="2"/>
      <c r="P12" s="2"/>
    </row>
    <row r="13" spans="1:17" ht="33.75" customHeight="1">
      <c r="A13" s="239"/>
      <c r="B13" s="239"/>
      <c r="C13" s="239"/>
      <c r="D13" s="239"/>
      <c r="E13" s="239"/>
      <c r="F13" s="239"/>
      <c r="G13" s="239"/>
      <c r="H13" s="239"/>
      <c r="I13" s="239"/>
      <c r="J13" s="2"/>
      <c r="K13" s="2"/>
      <c r="L13" s="2"/>
      <c r="M13" s="2"/>
      <c r="N13" s="2"/>
      <c r="O13" s="2"/>
      <c r="P13" s="2"/>
    </row>
    <row r="14" spans="1:17" ht="33.75" customHeight="1">
      <c r="A14" s="239"/>
      <c r="B14" s="239"/>
      <c r="C14" s="239"/>
      <c r="D14" s="239"/>
      <c r="E14" s="239"/>
      <c r="F14" s="239"/>
      <c r="G14" s="239"/>
      <c r="H14" s="239"/>
      <c r="I14" s="239"/>
      <c r="J14" s="2"/>
      <c r="K14" s="2"/>
      <c r="L14" s="2"/>
      <c r="M14" s="2"/>
      <c r="N14" s="2"/>
      <c r="O14" s="2"/>
      <c r="P14" s="2"/>
    </row>
    <row r="15" spans="1:17" ht="33.75" customHeight="1">
      <c r="A15" s="239"/>
      <c r="B15" s="239"/>
      <c r="C15" s="239"/>
      <c r="D15" s="239"/>
      <c r="E15" s="239"/>
      <c r="F15" s="239"/>
      <c r="G15" s="239"/>
      <c r="H15" s="239"/>
      <c r="I15" s="239"/>
      <c r="J15" s="2"/>
      <c r="K15" s="2"/>
      <c r="L15" s="2"/>
      <c r="M15" s="2"/>
      <c r="N15" s="2"/>
      <c r="O15" s="2"/>
      <c r="P15" s="2"/>
    </row>
    <row r="16" spans="1:17" ht="33.75" customHeight="1">
      <c r="A16" s="239"/>
      <c r="B16" s="239"/>
      <c r="C16" s="239"/>
      <c r="D16" s="239"/>
      <c r="E16" s="239"/>
      <c r="F16" s="239"/>
      <c r="G16" s="239"/>
      <c r="H16" s="239"/>
      <c r="I16" s="239"/>
      <c r="J16" s="2"/>
      <c r="K16" s="2"/>
      <c r="L16" s="2"/>
      <c r="M16" s="2"/>
      <c r="N16" s="2"/>
      <c r="O16" s="2"/>
      <c r="P16" s="2"/>
    </row>
    <row r="17" spans="1:16" ht="33.75" customHeight="1">
      <c r="A17" s="239"/>
      <c r="B17" s="239"/>
      <c r="C17" s="239"/>
      <c r="D17" s="239"/>
      <c r="E17" s="239"/>
      <c r="F17" s="239"/>
      <c r="G17" s="239"/>
      <c r="H17" s="239"/>
      <c r="I17" s="239"/>
      <c r="J17" s="2"/>
      <c r="K17" s="2"/>
      <c r="L17" s="2"/>
      <c r="M17" s="2"/>
      <c r="N17" s="2"/>
      <c r="O17" s="2"/>
      <c r="P17" s="2"/>
    </row>
    <row r="18" spans="1:16" ht="33.75" customHeight="1">
      <c r="A18" s="239"/>
      <c r="B18" s="239"/>
      <c r="C18" s="239"/>
      <c r="D18" s="239"/>
      <c r="E18" s="239"/>
      <c r="F18" s="239"/>
      <c r="G18" s="239"/>
      <c r="H18" s="239"/>
      <c r="I18" s="239"/>
      <c r="J18" s="2"/>
      <c r="K18" s="2"/>
      <c r="L18" s="2"/>
      <c r="M18" s="2"/>
      <c r="N18" s="2"/>
      <c r="O18" s="2"/>
      <c r="P18" s="2"/>
    </row>
    <row r="19" spans="1:16" ht="33.75" customHeight="1">
      <c r="A19" s="239"/>
      <c r="B19" s="239"/>
      <c r="C19" s="239"/>
      <c r="D19" s="239"/>
      <c r="E19" s="239"/>
      <c r="F19" s="239"/>
      <c r="G19" s="239"/>
      <c r="H19" s="239"/>
      <c r="I19" s="239"/>
      <c r="J19" s="2"/>
      <c r="K19" s="2"/>
      <c r="L19" s="2"/>
      <c r="M19" s="2"/>
      <c r="N19" s="2"/>
      <c r="O19" s="2"/>
      <c r="P19" s="2"/>
    </row>
    <row r="20" spans="1:16" ht="33.75" customHeight="1">
      <c r="A20" s="239"/>
      <c r="B20" s="239"/>
      <c r="C20" s="239"/>
      <c r="D20" s="239"/>
      <c r="E20" s="239"/>
      <c r="F20" s="239"/>
      <c r="G20" s="239"/>
      <c r="H20" s="239"/>
      <c r="I20" s="239"/>
      <c r="J20" s="2"/>
      <c r="K20" s="2"/>
      <c r="L20" s="2"/>
      <c r="M20" s="2"/>
      <c r="N20" s="2"/>
      <c r="O20" s="2"/>
      <c r="P20" s="2"/>
    </row>
    <row r="21" spans="1:16" ht="33.75" customHeight="1">
      <c r="A21" s="239"/>
      <c r="B21" s="239"/>
      <c r="C21" s="239"/>
      <c r="D21" s="239"/>
      <c r="E21" s="239"/>
      <c r="F21" s="239"/>
      <c r="G21" s="239"/>
      <c r="H21" s="239"/>
      <c r="I21" s="239"/>
      <c r="J21" s="2"/>
      <c r="K21" s="2"/>
      <c r="L21" s="2"/>
      <c r="M21" s="2"/>
      <c r="N21" s="2"/>
      <c r="O21" s="2"/>
      <c r="P21" s="2"/>
    </row>
    <row r="22" spans="1:16" ht="33.75" customHeight="1">
      <c r="A22" s="239"/>
      <c r="B22" s="239"/>
      <c r="C22" s="239"/>
      <c r="D22" s="239"/>
      <c r="E22" s="239"/>
      <c r="F22" s="239"/>
      <c r="G22" s="239"/>
      <c r="H22" s="239"/>
      <c r="I22" s="239"/>
      <c r="J22" s="2"/>
      <c r="K22" s="2"/>
      <c r="L22" s="2"/>
      <c r="M22" s="2"/>
      <c r="N22" s="2"/>
      <c r="O22" s="2"/>
      <c r="P22" s="2"/>
    </row>
    <row r="23" spans="1:16">
      <c r="A23" s="13"/>
      <c r="B23" s="13"/>
      <c r="C23" s="13"/>
      <c r="D23" s="13"/>
      <c r="E23" s="13"/>
      <c r="F23" s="13"/>
      <c r="G23" s="13"/>
      <c r="H23" s="13"/>
      <c r="I23" s="13"/>
    </row>
    <row r="24" spans="1:16">
      <c r="A24" s="13" t="s">
        <v>366</v>
      </c>
      <c r="B24" s="13"/>
      <c r="C24" s="13" t="s">
        <v>72</v>
      </c>
      <c r="D24" s="13"/>
      <c r="E24" s="13"/>
      <c r="F24" s="13"/>
      <c r="G24" s="13"/>
      <c r="H24" s="13"/>
      <c r="I24" s="13"/>
    </row>
    <row r="25" spans="1:16">
      <c r="A25" s="13" t="s">
        <v>286</v>
      </c>
      <c r="B25" s="13"/>
      <c r="C25" s="13" t="s">
        <v>479</v>
      </c>
      <c r="D25" s="13"/>
      <c r="E25" s="13"/>
      <c r="F25" s="13"/>
      <c r="G25" s="13"/>
      <c r="H25" s="13"/>
      <c r="I25" s="13"/>
    </row>
    <row r="26" spans="1:16">
      <c r="A26" s="13" t="s">
        <v>190</v>
      </c>
      <c r="B26" s="13"/>
      <c r="C26" s="13"/>
      <c r="D26" s="13"/>
      <c r="E26" s="13"/>
      <c r="F26" s="13"/>
      <c r="G26" s="13"/>
      <c r="H26" s="13"/>
      <c r="I26" s="13"/>
    </row>
    <row r="27" spans="1:16">
      <c r="A27" s="13" t="s">
        <v>81</v>
      </c>
      <c r="B27" s="13"/>
      <c r="C27" s="13" t="s">
        <v>483</v>
      </c>
      <c r="D27" s="13"/>
      <c r="E27" s="13"/>
      <c r="F27" s="13"/>
      <c r="G27" s="13"/>
      <c r="H27" s="13"/>
      <c r="I27" s="13"/>
    </row>
    <row r="28" spans="1:16">
      <c r="A28" s="13" t="s">
        <v>26</v>
      </c>
      <c r="B28" s="13"/>
      <c r="C28" s="13" t="s">
        <v>20</v>
      </c>
      <c r="D28" s="13"/>
      <c r="E28" s="13"/>
      <c r="F28" s="13"/>
      <c r="G28" s="13"/>
      <c r="H28" s="13"/>
      <c r="I28" s="13"/>
    </row>
    <row r="29" spans="1:16" s="13" customFormat="1">
      <c r="A29" s="13" t="s">
        <v>251</v>
      </c>
      <c r="C29" s="13" t="s">
        <v>310</v>
      </c>
    </row>
    <row r="30" spans="1:16">
      <c r="A30" t="s">
        <v>281</v>
      </c>
      <c r="C30" t="s">
        <v>304</v>
      </c>
    </row>
    <row r="31" spans="1:16">
      <c r="A31" t="s">
        <v>154</v>
      </c>
      <c r="C31" t="s">
        <v>481</v>
      </c>
    </row>
    <row r="32" spans="1:16">
      <c r="A32" t="s">
        <v>102</v>
      </c>
      <c r="C32" t="s">
        <v>98</v>
      </c>
    </row>
    <row r="33" spans="1:3">
      <c r="A33" t="s">
        <v>287</v>
      </c>
      <c r="C33" t="s">
        <v>485</v>
      </c>
    </row>
    <row r="34" spans="1:3">
      <c r="A34" t="s">
        <v>28</v>
      </c>
    </row>
    <row r="35" spans="1:3">
      <c r="A35" t="s">
        <v>289</v>
      </c>
    </row>
    <row r="36" spans="1:3">
      <c r="A36" t="s">
        <v>292</v>
      </c>
    </row>
    <row r="37" spans="1:3">
      <c r="A37" t="s">
        <v>267</v>
      </c>
    </row>
    <row r="38" spans="1:3">
      <c r="A38" t="s">
        <v>201</v>
      </c>
    </row>
    <row r="39" spans="1:3">
      <c r="A39" t="s">
        <v>23</v>
      </c>
    </row>
    <row r="40" spans="1:3">
      <c r="A40" t="s">
        <v>294</v>
      </c>
    </row>
    <row r="41" spans="1:3">
      <c r="A41" t="s">
        <v>297</v>
      </c>
    </row>
    <row r="42" spans="1:3">
      <c r="A42" t="s">
        <v>300</v>
      </c>
    </row>
    <row r="43" spans="1:3">
      <c r="A43" t="s">
        <v>276</v>
      </c>
    </row>
  </sheetData>
  <phoneticPr fontId="1"/>
  <pageMargins left="0.7" right="0.7" top="0.75" bottom="0.75" header="0.3" footer="0.3"/>
  <pageSetup paperSize="9" scale="45"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M34"/>
  <sheetViews>
    <sheetView view="pageBreakPreview" zoomScale="130" zoomScaleSheetLayoutView="130" workbookViewId="0">
      <selection activeCell="C6" sqref="C6"/>
    </sheetView>
  </sheetViews>
  <sheetFormatPr defaultRowHeight="13.5"/>
  <cols>
    <col min="1" max="3" width="9.625" customWidth="1"/>
    <col min="4" max="4" width="4.375" customWidth="1"/>
    <col min="5" max="5" width="16" customWidth="1"/>
    <col min="6" max="6" width="19.375" customWidth="1"/>
    <col min="7" max="8" width="10.625" customWidth="1"/>
    <col min="9" max="9" width="10.25" customWidth="1"/>
    <col min="10" max="10" width="14.25" customWidth="1"/>
    <col min="11" max="11" width="19" customWidth="1"/>
    <col min="12" max="12" width="10.625" customWidth="1"/>
    <col min="13" max="13" width="23.5" customWidth="1"/>
    <col min="14" max="14" width="2.375" customWidth="1"/>
  </cols>
  <sheetData>
    <row r="1" spans="1:13">
      <c r="A1" s="44" t="s">
        <v>255</v>
      </c>
    </row>
    <row r="2" spans="1:13">
      <c r="A2" s="325" t="s">
        <v>764</v>
      </c>
      <c r="B2" s="341"/>
      <c r="C2" s="341"/>
      <c r="D2" s="325"/>
      <c r="E2" s="341"/>
      <c r="F2" s="341"/>
      <c r="G2" s="341"/>
      <c r="H2" s="341"/>
      <c r="I2" s="341"/>
      <c r="J2" s="341"/>
      <c r="K2" s="341"/>
      <c r="L2" s="341"/>
      <c r="M2" s="341"/>
    </row>
    <row r="3" spans="1:13" ht="21" customHeight="1">
      <c r="A3" s="338" t="s">
        <v>511</v>
      </c>
      <c r="B3" s="342"/>
      <c r="C3" s="343"/>
      <c r="D3" s="338" t="s">
        <v>513</v>
      </c>
      <c r="E3" s="342"/>
      <c r="F3" s="342"/>
      <c r="G3" s="342"/>
      <c r="H3" s="342"/>
      <c r="I3" s="342"/>
      <c r="J3" s="342"/>
      <c r="K3" s="342"/>
      <c r="L3" s="343"/>
      <c r="M3" s="353" t="s">
        <v>447</v>
      </c>
    </row>
    <row r="4" spans="1:13" ht="27">
      <c r="A4" s="339" t="s">
        <v>514</v>
      </c>
      <c r="B4" s="339" t="s">
        <v>516</v>
      </c>
      <c r="C4" s="344" t="s">
        <v>517</v>
      </c>
      <c r="D4" s="339" t="s">
        <v>518</v>
      </c>
      <c r="E4" s="339" t="s">
        <v>524</v>
      </c>
      <c r="F4" s="339" t="s">
        <v>528</v>
      </c>
      <c r="G4" s="339" t="s">
        <v>172</v>
      </c>
      <c r="H4" s="339" t="s">
        <v>73</v>
      </c>
      <c r="I4" s="339" t="s">
        <v>504</v>
      </c>
      <c r="J4" s="339" t="s">
        <v>529</v>
      </c>
      <c r="K4" s="339" t="s">
        <v>229</v>
      </c>
      <c r="L4" s="339" t="s">
        <v>532</v>
      </c>
      <c r="M4" s="354"/>
    </row>
    <row r="5" spans="1:13" ht="33.75" customHeight="1">
      <c r="A5" s="340" t="s">
        <v>535</v>
      </c>
      <c r="B5" s="340" t="s">
        <v>535</v>
      </c>
      <c r="C5" s="340"/>
      <c r="D5" s="340">
        <v>1</v>
      </c>
      <c r="E5" s="349" t="s">
        <v>1187</v>
      </c>
      <c r="F5" s="349" t="s">
        <v>1192</v>
      </c>
      <c r="G5" s="349" t="s">
        <v>1197</v>
      </c>
      <c r="H5" s="349" t="s">
        <v>222</v>
      </c>
      <c r="I5" s="349" t="s">
        <v>1202</v>
      </c>
      <c r="J5" s="349" t="s">
        <v>1204</v>
      </c>
      <c r="K5" s="349" t="s">
        <v>1095</v>
      </c>
      <c r="L5" s="340" t="s">
        <v>410</v>
      </c>
      <c r="M5" s="340"/>
    </row>
    <row r="6" spans="1:13" ht="78.75" customHeight="1">
      <c r="A6" s="340"/>
      <c r="B6" s="340"/>
      <c r="C6" s="340" t="s">
        <v>535</v>
      </c>
      <c r="D6" s="340">
        <v>2</v>
      </c>
      <c r="E6" s="349" t="s">
        <v>606</v>
      </c>
      <c r="F6" s="349" t="s">
        <v>1193</v>
      </c>
      <c r="G6" s="349" t="s">
        <v>1197</v>
      </c>
      <c r="H6" s="349" t="s">
        <v>222</v>
      </c>
      <c r="I6" s="349" t="s">
        <v>514</v>
      </c>
      <c r="J6" s="349" t="s">
        <v>1205</v>
      </c>
      <c r="K6" s="349" t="s">
        <v>1206</v>
      </c>
      <c r="L6" s="340" t="s">
        <v>410</v>
      </c>
      <c r="M6" s="340"/>
    </row>
    <row r="7" spans="1:13" ht="32.25" customHeight="1">
      <c r="A7" s="340"/>
      <c r="B7" s="340" t="s">
        <v>535</v>
      </c>
      <c r="C7" s="340" t="s">
        <v>535</v>
      </c>
      <c r="D7" s="340">
        <v>3</v>
      </c>
      <c r="E7" s="349" t="s">
        <v>991</v>
      </c>
      <c r="F7" s="349" t="s">
        <v>1194</v>
      </c>
      <c r="G7" s="349" t="s">
        <v>1198</v>
      </c>
      <c r="H7" s="349" t="s">
        <v>1200</v>
      </c>
      <c r="I7" s="349" t="s">
        <v>516</v>
      </c>
      <c r="J7" s="349" t="s">
        <v>909</v>
      </c>
      <c r="K7" s="349" t="s">
        <v>1206</v>
      </c>
      <c r="L7" s="340" t="s">
        <v>727</v>
      </c>
      <c r="M7" s="340"/>
    </row>
    <row r="8" spans="1:13" ht="32.25" customHeight="1">
      <c r="A8" s="340"/>
      <c r="B8" s="340" t="s">
        <v>535</v>
      </c>
      <c r="C8" s="340"/>
      <c r="D8" s="340">
        <v>4</v>
      </c>
      <c r="E8" s="349" t="s">
        <v>1188</v>
      </c>
      <c r="F8" s="349" t="s">
        <v>1195</v>
      </c>
      <c r="G8" s="349" t="s">
        <v>1198</v>
      </c>
      <c r="H8" s="349" t="s">
        <v>1201</v>
      </c>
      <c r="I8" s="349" t="s">
        <v>550</v>
      </c>
      <c r="J8" s="349" t="s">
        <v>1205</v>
      </c>
      <c r="K8" s="349" t="s">
        <v>832</v>
      </c>
      <c r="L8" s="340" t="s">
        <v>410</v>
      </c>
      <c r="M8" s="340"/>
    </row>
    <row r="9" spans="1:13" ht="32.25" customHeight="1">
      <c r="A9" s="340"/>
      <c r="B9" s="340"/>
      <c r="C9" s="340" t="s">
        <v>535</v>
      </c>
      <c r="D9" s="340">
        <v>5</v>
      </c>
      <c r="E9" s="349" t="s">
        <v>1188</v>
      </c>
      <c r="F9" s="349" t="s">
        <v>430</v>
      </c>
      <c r="G9" s="349" t="s">
        <v>1198</v>
      </c>
      <c r="H9" s="349" t="s">
        <v>222</v>
      </c>
      <c r="I9" s="349" t="s">
        <v>516</v>
      </c>
      <c r="J9" s="349" t="s">
        <v>1205</v>
      </c>
      <c r="K9" s="349" t="s">
        <v>1206</v>
      </c>
      <c r="L9" s="340" t="s">
        <v>410</v>
      </c>
      <c r="M9" s="340"/>
    </row>
    <row r="10" spans="1:13" ht="32.25" customHeight="1">
      <c r="A10" s="340"/>
      <c r="B10" s="340"/>
      <c r="C10" s="340" t="s">
        <v>535</v>
      </c>
      <c r="D10" s="340">
        <v>6</v>
      </c>
      <c r="E10" s="349" t="s">
        <v>1189</v>
      </c>
      <c r="F10" s="349" t="s">
        <v>430</v>
      </c>
      <c r="G10" s="349" t="s">
        <v>1198</v>
      </c>
      <c r="H10" s="349" t="s">
        <v>1200</v>
      </c>
      <c r="I10" s="349" t="s">
        <v>516</v>
      </c>
      <c r="J10" s="349" t="s">
        <v>909</v>
      </c>
      <c r="K10" s="349" t="s">
        <v>1206</v>
      </c>
      <c r="L10" s="340" t="s">
        <v>410</v>
      </c>
      <c r="M10" s="340"/>
    </row>
    <row r="11" spans="1:13" ht="32.25" customHeight="1">
      <c r="A11" s="340"/>
      <c r="B11" s="340" t="s">
        <v>535</v>
      </c>
      <c r="C11" s="340" t="s">
        <v>535</v>
      </c>
      <c r="D11" s="340">
        <v>7</v>
      </c>
      <c r="E11" s="349" t="s">
        <v>1191</v>
      </c>
      <c r="F11" s="349" t="s">
        <v>1196</v>
      </c>
      <c r="G11" s="349" t="s">
        <v>4</v>
      </c>
      <c r="H11" s="349" t="s">
        <v>222</v>
      </c>
      <c r="I11" s="349" t="s">
        <v>1203</v>
      </c>
      <c r="J11" s="349" t="s">
        <v>909</v>
      </c>
      <c r="K11" s="349" t="s">
        <v>533</v>
      </c>
      <c r="L11" s="340" t="s">
        <v>410</v>
      </c>
      <c r="M11" s="340"/>
    </row>
    <row r="12" spans="1:13">
      <c r="A12" s="13"/>
      <c r="B12" s="13"/>
      <c r="C12" s="13"/>
      <c r="D12" s="13"/>
      <c r="E12" s="13"/>
      <c r="F12" s="13"/>
      <c r="G12" s="13"/>
      <c r="H12" s="13"/>
      <c r="I12" s="13"/>
    </row>
    <row r="13" spans="1:13" ht="14.25">
      <c r="A13" s="13"/>
      <c r="B13" s="13"/>
      <c r="C13" s="13"/>
      <c r="D13" s="345" t="s">
        <v>539</v>
      </c>
      <c r="E13" s="351"/>
      <c r="F13" s="351"/>
      <c r="G13" s="13"/>
      <c r="H13" s="13"/>
      <c r="I13" s="13"/>
    </row>
    <row r="14" spans="1:13">
      <c r="A14" s="13"/>
      <c r="B14" s="13"/>
      <c r="C14" s="13"/>
      <c r="D14" s="346" t="s">
        <v>540</v>
      </c>
      <c r="E14" s="350" t="s">
        <v>295</v>
      </c>
      <c r="F14" s="350" t="s">
        <v>543</v>
      </c>
      <c r="G14" s="13"/>
      <c r="H14" s="13"/>
      <c r="I14" s="13"/>
    </row>
    <row r="15" spans="1:13">
      <c r="A15" s="13"/>
      <c r="B15" s="13"/>
      <c r="C15" s="13"/>
      <c r="D15" s="347"/>
      <c r="E15" s="347"/>
      <c r="F15" s="347"/>
      <c r="G15" s="13"/>
      <c r="H15" s="13"/>
      <c r="I15" s="13"/>
    </row>
    <row r="16" spans="1:13" ht="41.25" customHeight="1">
      <c r="A16" s="13"/>
      <c r="B16" s="13"/>
      <c r="C16" s="13"/>
      <c r="D16" s="348">
        <v>1</v>
      </c>
      <c r="E16" s="352" t="s">
        <v>514</v>
      </c>
      <c r="F16" s="352" t="s">
        <v>461</v>
      </c>
      <c r="G16" s="13"/>
      <c r="H16" s="13"/>
      <c r="I16" s="13"/>
    </row>
    <row r="17" spans="1:9" ht="41.25" customHeight="1">
      <c r="A17" s="13"/>
      <c r="B17" s="13"/>
      <c r="C17" s="13"/>
      <c r="D17" s="348">
        <v>2</v>
      </c>
      <c r="E17" s="352" t="s">
        <v>516</v>
      </c>
      <c r="F17" s="352" t="s">
        <v>544</v>
      </c>
      <c r="G17" s="13"/>
      <c r="H17" s="13"/>
      <c r="I17" s="13"/>
    </row>
    <row r="18" spans="1:9" ht="41.25" customHeight="1">
      <c r="A18" s="13"/>
      <c r="B18" s="13"/>
      <c r="C18" s="13"/>
      <c r="D18" s="348">
        <v>3</v>
      </c>
      <c r="E18" s="352" t="s">
        <v>517</v>
      </c>
      <c r="F18" s="352" t="s">
        <v>435</v>
      </c>
      <c r="G18" s="13"/>
      <c r="H18" s="13"/>
      <c r="I18" s="13"/>
    </row>
    <row r="19" spans="1:9">
      <c r="A19" s="13"/>
      <c r="B19" s="13"/>
      <c r="C19" s="13"/>
      <c r="D19" s="13"/>
      <c r="E19" s="13"/>
      <c r="F19" s="13"/>
      <c r="G19" s="13"/>
      <c r="H19" s="13"/>
      <c r="I19" s="13"/>
    </row>
    <row r="20" spans="1:9">
      <c r="A20" s="13"/>
      <c r="B20" s="13"/>
      <c r="C20" s="13"/>
      <c r="D20" s="13"/>
      <c r="E20" s="13"/>
      <c r="F20" s="13"/>
      <c r="G20" s="13"/>
      <c r="H20" s="13"/>
      <c r="I20" s="13"/>
    </row>
    <row r="21" spans="1:9">
      <c r="A21" s="13"/>
      <c r="B21" s="13"/>
      <c r="C21" s="13"/>
      <c r="D21" s="13"/>
      <c r="E21" s="13"/>
      <c r="F21" s="13"/>
      <c r="G21" s="13"/>
      <c r="H21" s="13"/>
      <c r="I21" s="13"/>
    </row>
    <row r="22" spans="1:9">
      <c r="A22" s="13"/>
      <c r="B22" s="13"/>
      <c r="C22" s="13"/>
      <c r="D22" s="13"/>
      <c r="E22" s="13"/>
      <c r="F22" s="13"/>
      <c r="G22" s="13"/>
      <c r="H22" s="13"/>
      <c r="I22" s="13"/>
    </row>
    <row r="23" spans="1:9">
      <c r="A23" s="13" t="s">
        <v>261</v>
      </c>
      <c r="B23" s="13"/>
      <c r="C23" s="13"/>
      <c r="D23" s="13" t="s">
        <v>316</v>
      </c>
      <c r="E23" s="13"/>
      <c r="F23" s="13"/>
      <c r="G23" s="13"/>
      <c r="H23" s="13"/>
      <c r="I23" s="13"/>
    </row>
    <row r="24" spans="1:9">
      <c r="A24" s="13" t="s">
        <v>263</v>
      </c>
      <c r="B24" s="13"/>
      <c r="C24" s="13"/>
      <c r="D24" s="13"/>
      <c r="E24" s="13"/>
      <c r="F24" s="13"/>
      <c r="G24" s="13"/>
      <c r="H24" s="13"/>
      <c r="I24" s="13"/>
    </row>
    <row r="25" spans="1:9">
      <c r="A25" s="13" t="s">
        <v>320</v>
      </c>
      <c r="B25" s="13"/>
      <c r="C25" s="13"/>
      <c r="D25" s="13"/>
      <c r="E25" s="13"/>
      <c r="F25" s="13"/>
      <c r="G25" s="13"/>
      <c r="H25" s="13"/>
      <c r="I25" s="13"/>
    </row>
    <row r="26" spans="1:9">
      <c r="A26" s="13" t="s">
        <v>228</v>
      </c>
      <c r="B26" s="13"/>
      <c r="C26" s="13"/>
      <c r="D26" s="13"/>
      <c r="E26" s="13"/>
      <c r="F26" s="13"/>
      <c r="G26" s="13"/>
      <c r="H26" s="13"/>
      <c r="I26" s="13"/>
    </row>
    <row r="27" spans="1:9">
      <c r="A27" s="13" t="s">
        <v>267</v>
      </c>
      <c r="B27" s="13"/>
      <c r="C27" s="13"/>
      <c r="D27" s="13"/>
      <c r="E27" s="13"/>
      <c r="F27" s="13"/>
      <c r="G27" s="13"/>
      <c r="H27" s="13"/>
      <c r="I27" s="13"/>
    </row>
    <row r="28" spans="1:9">
      <c r="A28" s="13" t="s">
        <v>269</v>
      </c>
      <c r="B28" s="13"/>
      <c r="C28" s="13"/>
      <c r="D28" s="13"/>
      <c r="E28" s="13"/>
      <c r="F28" s="13"/>
      <c r="G28" s="13"/>
      <c r="H28" s="13"/>
      <c r="I28" s="13"/>
    </row>
    <row r="29" spans="1:9">
      <c r="A29" s="326" t="s">
        <v>272</v>
      </c>
      <c r="B29" s="326"/>
      <c r="C29" s="326"/>
      <c r="D29" s="326"/>
      <c r="E29" s="326"/>
      <c r="F29" s="326"/>
      <c r="G29" s="326"/>
      <c r="H29" s="326"/>
      <c r="I29" s="326"/>
    </row>
    <row r="30" spans="1:9">
      <c r="A30" t="s">
        <v>276</v>
      </c>
    </row>
    <row r="31" spans="1:9">
      <c r="A31" t="s">
        <v>301</v>
      </c>
    </row>
    <row r="32" spans="1:9">
      <c r="A32" t="s">
        <v>306</v>
      </c>
    </row>
    <row r="33" spans="1:1">
      <c r="A33" t="s">
        <v>312</v>
      </c>
    </row>
    <row r="34" spans="1:1">
      <c r="A34" t="s">
        <v>503</v>
      </c>
    </row>
  </sheetData>
  <mergeCells count="6">
    <mergeCell ref="A3:C3"/>
    <mergeCell ref="D3:L3"/>
    <mergeCell ref="M3:M4"/>
    <mergeCell ref="D14:D15"/>
    <mergeCell ref="E14:E15"/>
    <mergeCell ref="F14:F15"/>
  </mergeCells>
  <phoneticPr fontId="1"/>
  <pageMargins left="0.7" right="0.7" top="0.75" bottom="0.75" header="0.3" footer="0.3"/>
  <pageSetup paperSize="9" scale="80" fitToWidth="1" fitToHeight="0"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N31"/>
  <sheetViews>
    <sheetView view="pageBreakPreview" topLeftCell="A9" zoomScale="115" zoomScaleSheetLayoutView="115" workbookViewId="0">
      <selection activeCell="A5" sqref="A5:N13"/>
    </sheetView>
  </sheetViews>
  <sheetFormatPr defaultRowHeight="13.5"/>
  <cols>
    <col min="1" max="3" width="8.25" customWidth="1"/>
    <col min="4" max="4" width="4.25" customWidth="1"/>
    <col min="5" max="5" width="18" customWidth="1"/>
    <col min="6" max="6" width="17.75" customWidth="1"/>
    <col min="9" max="9" width="18.125" customWidth="1"/>
    <col min="10" max="10" width="9.875" customWidth="1"/>
    <col min="11" max="11" width="10.75" customWidth="1"/>
    <col min="12" max="12" width="10.875" customWidth="1"/>
    <col min="13" max="13" width="11" customWidth="1"/>
    <col min="14" max="14" width="17.75" customWidth="1"/>
  </cols>
  <sheetData>
    <row r="1" spans="1:14">
      <c r="A1" s="44" t="s">
        <v>66</v>
      </c>
    </row>
    <row r="2" spans="1:14">
      <c r="A2" s="247" t="s">
        <v>752</v>
      </c>
      <c r="B2" s="341"/>
      <c r="C2" s="341"/>
      <c r="D2" s="325"/>
      <c r="E2" s="341"/>
      <c r="F2" s="341"/>
      <c r="G2" s="341"/>
      <c r="H2" s="341"/>
      <c r="I2" s="341"/>
      <c r="J2" s="341"/>
      <c r="K2" s="341"/>
      <c r="L2" s="341"/>
      <c r="M2" s="341"/>
      <c r="N2" s="341"/>
    </row>
    <row r="3" spans="1:14" ht="23.25" customHeight="1">
      <c r="A3" s="338" t="s">
        <v>511</v>
      </c>
      <c r="B3" s="342"/>
      <c r="C3" s="343"/>
      <c r="D3" s="338" t="s">
        <v>545</v>
      </c>
      <c r="E3" s="342"/>
      <c r="F3" s="342"/>
      <c r="G3" s="342"/>
      <c r="H3" s="342"/>
      <c r="I3" s="342"/>
      <c r="J3" s="342"/>
      <c r="K3" s="342"/>
      <c r="L3" s="342"/>
      <c r="M3" s="343"/>
      <c r="N3" s="353" t="s">
        <v>447</v>
      </c>
    </row>
    <row r="4" spans="1:14">
      <c r="A4" s="355" t="s">
        <v>514</v>
      </c>
      <c r="B4" s="355" t="s">
        <v>516</v>
      </c>
      <c r="C4" s="357" t="s">
        <v>517</v>
      </c>
      <c r="D4" s="339" t="s">
        <v>518</v>
      </c>
      <c r="E4" s="339" t="s">
        <v>546</v>
      </c>
      <c r="F4" s="339" t="s">
        <v>551</v>
      </c>
      <c r="G4" s="339" t="s">
        <v>552</v>
      </c>
      <c r="H4" s="339" t="s">
        <v>357</v>
      </c>
      <c r="I4" s="339" t="s">
        <v>183</v>
      </c>
      <c r="J4" s="339" t="s">
        <v>287</v>
      </c>
      <c r="K4" s="339" t="s">
        <v>529</v>
      </c>
      <c r="L4" s="339" t="s">
        <v>133</v>
      </c>
      <c r="M4" s="339" t="s">
        <v>555</v>
      </c>
      <c r="N4" s="354"/>
    </row>
    <row r="5" spans="1:14" ht="30.75" customHeight="1">
      <c r="A5" s="340" t="s">
        <v>535</v>
      </c>
      <c r="B5" s="340" t="s">
        <v>535</v>
      </c>
      <c r="C5" s="340" t="s">
        <v>535</v>
      </c>
      <c r="D5" s="340">
        <v>1</v>
      </c>
      <c r="E5" s="349" t="s">
        <v>1207</v>
      </c>
      <c r="F5" s="349" t="s">
        <v>556</v>
      </c>
      <c r="G5" s="349" t="s">
        <v>1219</v>
      </c>
      <c r="H5" s="349" t="s">
        <v>558</v>
      </c>
      <c r="I5" s="349" t="s">
        <v>560</v>
      </c>
      <c r="J5" s="349"/>
      <c r="K5" s="349" t="s">
        <v>1205</v>
      </c>
      <c r="L5" s="349" t="s">
        <v>1226</v>
      </c>
      <c r="M5" s="340"/>
      <c r="N5" s="340"/>
    </row>
    <row r="6" spans="1:14" ht="30.75" customHeight="1">
      <c r="A6" s="340" t="s">
        <v>535</v>
      </c>
      <c r="B6" s="340" t="s">
        <v>535</v>
      </c>
      <c r="C6" s="340"/>
      <c r="D6" s="340">
        <v>2</v>
      </c>
      <c r="E6" s="349" t="s">
        <v>566</v>
      </c>
      <c r="F6" s="349" t="s">
        <v>1215</v>
      </c>
      <c r="G6" s="349" t="s">
        <v>196</v>
      </c>
      <c r="H6" s="349" t="s">
        <v>452</v>
      </c>
      <c r="I6" s="349" t="s">
        <v>1222</v>
      </c>
      <c r="J6" s="349"/>
      <c r="K6" s="349" t="s">
        <v>1225</v>
      </c>
      <c r="L6" s="349" t="s">
        <v>1226</v>
      </c>
      <c r="M6" s="340"/>
      <c r="N6" s="340"/>
    </row>
    <row r="7" spans="1:14" ht="30.75" customHeight="1">
      <c r="A7" s="340" t="s">
        <v>535</v>
      </c>
      <c r="B7" s="340" t="s">
        <v>535</v>
      </c>
      <c r="C7" s="340"/>
      <c r="D7" s="340">
        <v>3</v>
      </c>
      <c r="E7" s="349" t="s">
        <v>1208</v>
      </c>
      <c r="F7" s="349" t="s">
        <v>279</v>
      </c>
      <c r="G7" s="349" t="s">
        <v>196</v>
      </c>
      <c r="H7" s="349" t="s">
        <v>452</v>
      </c>
      <c r="I7" s="349" t="s">
        <v>1223</v>
      </c>
      <c r="J7" s="349"/>
      <c r="K7" s="349" t="s">
        <v>1225</v>
      </c>
      <c r="L7" s="349" t="s">
        <v>1226</v>
      </c>
      <c r="M7" s="340"/>
      <c r="N7" s="340"/>
    </row>
    <row r="8" spans="1:14" ht="30.75" customHeight="1">
      <c r="A8" s="340" t="s">
        <v>535</v>
      </c>
      <c r="B8" s="340" t="s">
        <v>535</v>
      </c>
      <c r="C8" s="340"/>
      <c r="D8" s="340">
        <v>4</v>
      </c>
      <c r="E8" s="349" t="s">
        <v>1209</v>
      </c>
      <c r="F8" s="349" t="s">
        <v>1216</v>
      </c>
      <c r="G8" s="349" t="s">
        <v>1219</v>
      </c>
      <c r="H8" s="349" t="s">
        <v>452</v>
      </c>
      <c r="I8" s="349" t="s">
        <v>560</v>
      </c>
      <c r="J8" s="349"/>
      <c r="K8" s="349" t="s">
        <v>1205</v>
      </c>
      <c r="L8" s="349" t="s">
        <v>1226</v>
      </c>
      <c r="M8" s="340"/>
      <c r="N8" s="340"/>
    </row>
    <row r="9" spans="1:14" ht="30.75" customHeight="1">
      <c r="A9" s="340" t="s">
        <v>535</v>
      </c>
      <c r="B9" s="340" t="s">
        <v>535</v>
      </c>
      <c r="C9" s="340" t="s">
        <v>535</v>
      </c>
      <c r="D9" s="340">
        <v>5</v>
      </c>
      <c r="E9" s="349" t="s">
        <v>1210</v>
      </c>
      <c r="F9" s="349" t="s">
        <v>993</v>
      </c>
      <c r="G9" s="349" t="s">
        <v>196</v>
      </c>
      <c r="H9" s="349" t="s">
        <v>452</v>
      </c>
      <c r="I9" s="349" t="s">
        <v>1222</v>
      </c>
      <c r="J9" s="349"/>
      <c r="K9" s="349" t="s">
        <v>1225</v>
      </c>
      <c r="L9" s="349" t="s">
        <v>1226</v>
      </c>
      <c r="M9" s="340"/>
      <c r="N9" s="340"/>
    </row>
    <row r="10" spans="1:14" ht="30.75" customHeight="1">
      <c r="A10" s="340"/>
      <c r="B10" s="340" t="s">
        <v>535</v>
      </c>
      <c r="C10" s="340"/>
      <c r="D10" s="340">
        <v>6</v>
      </c>
      <c r="E10" s="349" t="s">
        <v>1211</v>
      </c>
      <c r="F10" s="349" t="s">
        <v>153</v>
      </c>
      <c r="G10" s="349" t="s">
        <v>1219</v>
      </c>
      <c r="H10" s="349" t="s">
        <v>1220</v>
      </c>
      <c r="I10" s="349" t="s">
        <v>560</v>
      </c>
      <c r="J10" s="349"/>
      <c r="K10" s="349" t="s">
        <v>1205</v>
      </c>
      <c r="L10" s="349" t="s">
        <v>1227</v>
      </c>
      <c r="M10" s="340"/>
      <c r="N10" s="340"/>
    </row>
    <row r="11" spans="1:14" ht="30.75" customHeight="1">
      <c r="A11" s="356" t="s">
        <v>535</v>
      </c>
      <c r="B11" s="356" t="s">
        <v>535</v>
      </c>
      <c r="C11" s="356"/>
      <c r="D11" s="356">
        <v>7</v>
      </c>
      <c r="E11" s="358" t="s">
        <v>1047</v>
      </c>
      <c r="F11" s="358" t="s">
        <v>1217</v>
      </c>
      <c r="G11" s="358" t="s">
        <v>196</v>
      </c>
      <c r="H11" s="358" t="s">
        <v>1220</v>
      </c>
      <c r="I11" s="358" t="s">
        <v>1222</v>
      </c>
      <c r="J11" s="358"/>
      <c r="K11" s="358" t="s">
        <v>1225</v>
      </c>
      <c r="L11" s="358" t="s">
        <v>1226</v>
      </c>
      <c r="M11" s="356"/>
      <c r="N11" s="356"/>
    </row>
    <row r="12" spans="1:14" ht="30.75" customHeight="1">
      <c r="A12" s="224"/>
      <c r="B12" s="340" t="s">
        <v>535</v>
      </c>
      <c r="C12" s="340" t="s">
        <v>535</v>
      </c>
      <c r="D12" s="224">
        <v>8</v>
      </c>
      <c r="E12" s="244" t="s">
        <v>1212</v>
      </c>
      <c r="F12" s="244" t="s">
        <v>199</v>
      </c>
      <c r="G12" s="244" t="s">
        <v>196</v>
      </c>
      <c r="H12" s="244" t="s">
        <v>558</v>
      </c>
      <c r="I12" s="244" t="s">
        <v>1224</v>
      </c>
      <c r="J12" s="244"/>
      <c r="K12" s="244" t="s">
        <v>1225</v>
      </c>
      <c r="L12" s="244" t="s">
        <v>1018</v>
      </c>
      <c r="M12" s="224"/>
      <c r="N12" s="224"/>
    </row>
    <row r="13" spans="1:14" ht="30.75" customHeight="1">
      <c r="A13" s="2"/>
      <c r="B13" s="2"/>
      <c r="C13" s="340" t="s">
        <v>535</v>
      </c>
      <c r="D13" s="72">
        <v>9</v>
      </c>
      <c r="E13" s="2" t="s">
        <v>1214</v>
      </c>
      <c r="F13" s="238" t="s">
        <v>1218</v>
      </c>
      <c r="G13" s="2" t="s">
        <v>196</v>
      </c>
      <c r="H13" s="2" t="s">
        <v>1221</v>
      </c>
      <c r="I13" s="238" t="s">
        <v>256</v>
      </c>
      <c r="J13" s="2"/>
      <c r="K13" s="2" t="s">
        <v>1225</v>
      </c>
      <c r="L13" s="2" t="s">
        <v>241</v>
      </c>
      <c r="M13" s="2" t="s">
        <v>1228</v>
      </c>
      <c r="N13" s="2"/>
    </row>
    <row r="14" spans="1:14" ht="17.25">
      <c r="A14" s="14"/>
      <c r="B14" s="13"/>
      <c r="C14" s="13"/>
      <c r="D14" s="13"/>
      <c r="E14" s="13"/>
      <c r="F14" s="13"/>
      <c r="G14" s="13"/>
      <c r="H14" s="13"/>
      <c r="I14" s="13"/>
    </row>
    <row r="15" spans="1:14">
      <c r="A15" s="13"/>
      <c r="B15" s="13"/>
      <c r="C15" s="13"/>
      <c r="D15" s="13"/>
      <c r="E15" s="13"/>
      <c r="F15" s="13"/>
      <c r="G15" s="13"/>
      <c r="H15" s="13"/>
      <c r="I15" s="13"/>
    </row>
    <row r="16" spans="1:14">
      <c r="A16" s="13" t="s">
        <v>128</v>
      </c>
      <c r="B16" s="13"/>
      <c r="C16" s="13"/>
      <c r="D16" s="13"/>
      <c r="E16" s="13"/>
      <c r="F16" s="13" t="s">
        <v>755</v>
      </c>
      <c r="G16" s="13"/>
      <c r="H16" s="13"/>
      <c r="I16" s="13"/>
      <c r="J16" t="s">
        <v>396</v>
      </c>
    </row>
    <row r="17" spans="1:10">
      <c r="A17" s="13" t="s">
        <v>323</v>
      </c>
      <c r="B17" s="13"/>
      <c r="C17" s="13"/>
      <c r="D17" s="13"/>
      <c r="E17" s="13"/>
      <c r="F17" s="13" t="s">
        <v>757</v>
      </c>
      <c r="G17" s="13"/>
      <c r="H17" s="13"/>
      <c r="I17" s="13"/>
      <c r="J17" t="s">
        <v>342</v>
      </c>
    </row>
    <row r="18" spans="1:10">
      <c r="A18" s="13" t="s">
        <v>328</v>
      </c>
      <c r="B18" s="13"/>
      <c r="C18" s="13"/>
      <c r="D18" s="13"/>
      <c r="E18" s="13"/>
      <c r="F18" s="13" t="s">
        <v>336</v>
      </c>
      <c r="G18" s="13"/>
      <c r="H18" s="13"/>
      <c r="I18" s="13"/>
      <c r="J18" t="s">
        <v>506</v>
      </c>
    </row>
    <row r="19" spans="1:10">
      <c r="A19" s="13" t="s">
        <v>332</v>
      </c>
      <c r="B19" s="13"/>
      <c r="C19" s="13"/>
      <c r="D19" s="13"/>
      <c r="E19" s="13"/>
      <c r="F19" s="13" t="s">
        <v>756</v>
      </c>
      <c r="G19" s="13"/>
      <c r="H19" s="13"/>
      <c r="I19" s="13"/>
      <c r="J19" t="s">
        <v>507</v>
      </c>
    </row>
    <row r="20" spans="1:10">
      <c r="A20" s="13" t="s">
        <v>334</v>
      </c>
      <c r="B20" s="13"/>
      <c r="C20" s="13"/>
      <c r="D20" s="13"/>
      <c r="E20" s="13"/>
      <c r="F20" s="13" t="s">
        <v>173</v>
      </c>
      <c r="G20" s="13"/>
      <c r="H20" s="13"/>
      <c r="I20" s="13"/>
      <c r="J20" t="s">
        <v>115</v>
      </c>
    </row>
    <row r="21" spans="1:10">
      <c r="A21" s="13" t="s">
        <v>336</v>
      </c>
      <c r="B21" s="13"/>
      <c r="C21" s="13"/>
      <c r="D21" s="13"/>
      <c r="E21" s="13"/>
      <c r="F21" s="13" t="s">
        <v>313</v>
      </c>
      <c r="G21" s="13"/>
      <c r="H21" s="13"/>
      <c r="I21" s="13"/>
      <c r="J21" t="s">
        <v>614</v>
      </c>
    </row>
    <row r="22" spans="1:10">
      <c r="A22" s="13" t="s">
        <v>338</v>
      </c>
      <c r="B22" s="13"/>
      <c r="C22" s="13"/>
      <c r="D22" s="13"/>
      <c r="E22" s="13"/>
      <c r="F22" s="13" t="s">
        <v>759</v>
      </c>
      <c r="G22" s="13"/>
      <c r="H22" s="13"/>
      <c r="I22" s="13"/>
      <c r="J22" t="s">
        <v>367</v>
      </c>
    </row>
    <row r="23" spans="1:10">
      <c r="A23" s="13" t="s">
        <v>348</v>
      </c>
      <c r="B23" s="13"/>
      <c r="C23" s="13"/>
      <c r="D23" s="13"/>
      <c r="E23" s="13"/>
      <c r="F23" s="13" t="s">
        <v>334</v>
      </c>
      <c r="G23" s="13"/>
      <c r="H23" s="13"/>
      <c r="I23" s="13"/>
    </row>
    <row r="24" spans="1:10">
      <c r="A24" s="13" t="s">
        <v>342</v>
      </c>
      <c r="B24" s="13"/>
      <c r="C24" s="13"/>
      <c r="D24" s="13"/>
      <c r="E24" s="13"/>
      <c r="F24" s="13" t="s">
        <v>328</v>
      </c>
      <c r="G24" s="13"/>
      <c r="H24" s="13"/>
      <c r="I24" s="13"/>
    </row>
    <row r="25" spans="1:10">
      <c r="A25" s="13" t="s">
        <v>347</v>
      </c>
      <c r="B25" s="13"/>
      <c r="C25" s="13"/>
      <c r="D25" s="13"/>
      <c r="E25" s="13"/>
      <c r="F25" s="13" t="s">
        <v>559</v>
      </c>
      <c r="G25" s="13"/>
      <c r="H25" s="13"/>
      <c r="I25" s="13"/>
    </row>
    <row r="26" spans="1:10">
      <c r="A26" s="13" t="s">
        <v>312</v>
      </c>
      <c r="B26" s="13"/>
      <c r="C26" s="13"/>
      <c r="D26" s="13"/>
      <c r="E26" s="13"/>
      <c r="F26" s="13" t="s">
        <v>243</v>
      </c>
      <c r="G26" s="13"/>
      <c r="H26" s="13"/>
      <c r="I26" s="13"/>
    </row>
    <row r="27" spans="1:10">
      <c r="A27" s="13" t="s">
        <v>49</v>
      </c>
      <c r="B27" s="13"/>
      <c r="C27" s="13"/>
      <c r="D27" s="13"/>
      <c r="E27" s="13"/>
      <c r="F27" s="13" t="s">
        <v>398</v>
      </c>
      <c r="G27" s="13"/>
      <c r="H27" s="13"/>
      <c r="I27" s="13"/>
    </row>
    <row r="28" spans="1:10">
      <c r="A28" s="13"/>
      <c r="B28" s="13"/>
      <c r="C28" s="13"/>
      <c r="D28" s="13"/>
      <c r="E28" s="13"/>
      <c r="F28" s="13" t="s">
        <v>403</v>
      </c>
      <c r="G28" s="13"/>
      <c r="H28" s="13"/>
      <c r="I28" s="13"/>
    </row>
    <row r="29" spans="1:10">
      <c r="A29" s="326"/>
      <c r="B29" s="326"/>
      <c r="C29" s="326"/>
      <c r="D29" s="326"/>
      <c r="E29" s="326"/>
      <c r="F29" s="326" t="s">
        <v>288</v>
      </c>
      <c r="G29" s="326"/>
      <c r="H29" s="326"/>
      <c r="I29" s="326"/>
    </row>
    <row r="30" spans="1:10">
      <c r="F30" t="s">
        <v>763</v>
      </c>
    </row>
    <row r="31" spans="1:10">
      <c r="F31" t="s">
        <v>30</v>
      </c>
    </row>
  </sheetData>
  <mergeCells count="3">
    <mergeCell ref="A3:C3"/>
    <mergeCell ref="D3:M3"/>
    <mergeCell ref="N3:N4"/>
  </mergeCells>
  <phoneticPr fontId="1"/>
  <pageMargins left="0.7" right="0.7" top="0.75" bottom="0.75" header="0.3" footer="0.3"/>
  <pageSetup paperSize="9" scale="83"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34"/>
  <sheetViews>
    <sheetView showGridLines="0" view="pageBreakPreview" zoomScale="85" zoomScaleNormal="85" zoomScaleSheetLayoutView="85" workbookViewId="0">
      <selection activeCell="B7" sqref="B7"/>
    </sheetView>
  </sheetViews>
  <sheetFormatPr defaultRowHeight="13.5"/>
  <cols>
    <col min="1" max="1" width="27.625" style="337" customWidth="1"/>
    <col min="2" max="4" width="42.125" style="337" customWidth="1"/>
    <col min="5" max="16384" width="9" style="337" customWidth="1"/>
  </cols>
  <sheetData>
    <row r="1" spans="1:4">
      <c r="A1" s="359" t="s">
        <v>335</v>
      </c>
    </row>
    <row r="2" spans="1:4" ht="19.5" customHeight="1">
      <c r="A2" s="359" t="s">
        <v>58</v>
      </c>
      <c r="D2" s="359" t="s">
        <v>695</v>
      </c>
    </row>
    <row r="3" spans="1:4" ht="24" customHeight="1">
      <c r="A3" s="360" t="s">
        <v>341</v>
      </c>
      <c r="B3" s="360" t="s">
        <v>496</v>
      </c>
      <c r="C3" s="360" t="s">
        <v>52</v>
      </c>
      <c r="D3" s="360" t="s">
        <v>698</v>
      </c>
    </row>
    <row r="4" spans="1:4" ht="51.75" customHeight="1">
      <c r="A4" s="361" t="s">
        <v>1065</v>
      </c>
      <c r="B4" s="361" t="s">
        <v>1230</v>
      </c>
      <c r="C4" s="362" t="s">
        <v>151</v>
      </c>
      <c r="D4" s="362" t="s">
        <v>1234</v>
      </c>
    </row>
    <row r="5" spans="1:4" ht="47.25" customHeight="1">
      <c r="A5" s="361" t="s">
        <v>737</v>
      </c>
      <c r="B5" s="362" t="s">
        <v>194</v>
      </c>
      <c r="C5" s="362" t="s">
        <v>782</v>
      </c>
      <c r="D5" s="362" t="s">
        <v>1235</v>
      </c>
    </row>
    <row r="6" spans="1:4" ht="50.25" customHeight="1">
      <c r="A6" s="361" t="s">
        <v>704</v>
      </c>
      <c r="B6" s="362" t="s">
        <v>1231</v>
      </c>
      <c r="C6" s="362"/>
      <c r="D6" s="362"/>
    </row>
    <row r="7" spans="1:4" ht="47.25" customHeight="1">
      <c r="A7" s="362" t="s">
        <v>137</v>
      </c>
      <c r="B7" s="362"/>
      <c r="C7" s="362"/>
      <c r="D7" s="362"/>
    </row>
    <row r="8" spans="1:4" ht="47.25" customHeight="1">
      <c r="A8" s="361" t="s">
        <v>700</v>
      </c>
      <c r="B8" s="362"/>
      <c r="C8" s="362"/>
      <c r="D8" s="362"/>
    </row>
    <row r="9" spans="1:4" ht="47.25" customHeight="1">
      <c r="A9" s="361" t="s">
        <v>600</v>
      </c>
      <c r="B9" s="362" t="s">
        <v>1232</v>
      </c>
      <c r="C9" s="362" t="s">
        <v>202</v>
      </c>
      <c r="D9" s="362" t="s">
        <v>219</v>
      </c>
    </row>
    <row r="10" spans="1:4" ht="47.25" customHeight="1">
      <c r="A10" s="361" t="s">
        <v>711</v>
      </c>
      <c r="B10" s="362"/>
      <c r="C10" s="362"/>
      <c r="D10" s="362"/>
    </row>
    <row r="11" spans="1:4" ht="47.25" customHeight="1">
      <c r="A11" s="361" t="s">
        <v>712</v>
      </c>
      <c r="B11" s="362"/>
      <c r="C11" s="362"/>
      <c r="D11" s="362"/>
    </row>
    <row r="12" spans="1:4" ht="66.75" customHeight="1">
      <c r="A12" s="361" t="s">
        <v>364</v>
      </c>
      <c r="B12" s="362" t="s">
        <v>1233</v>
      </c>
      <c r="C12" s="362"/>
      <c r="D12" s="362"/>
    </row>
    <row r="13" spans="1:4" ht="76.5" customHeight="1">
      <c r="A13" s="363" t="s">
        <v>1229</v>
      </c>
      <c r="B13" s="366"/>
      <c r="C13" s="368"/>
      <c r="D13" s="369" t="s">
        <v>69</v>
      </c>
    </row>
    <row r="14" spans="1:4" ht="24" customHeight="1">
      <c r="A14" s="364"/>
      <c r="B14" s="367" t="s">
        <v>571</v>
      </c>
      <c r="C14" s="364"/>
      <c r="D14" s="364"/>
    </row>
    <row r="15" spans="1:4">
      <c r="A15" s="337" t="s">
        <v>351</v>
      </c>
      <c r="D15" s="337" t="s">
        <v>701</v>
      </c>
    </row>
    <row r="16" spans="1:4">
      <c r="B16" s="337" t="s">
        <v>393</v>
      </c>
    </row>
    <row r="17" spans="1:9">
      <c r="D17" s="337" t="s">
        <v>379</v>
      </c>
    </row>
    <row r="18" spans="1:9">
      <c r="B18" s="337" t="s">
        <v>394</v>
      </c>
    </row>
    <row r="19" spans="1:9">
      <c r="D19" s="337" t="s">
        <v>381</v>
      </c>
    </row>
    <row r="20" spans="1:9">
      <c r="B20" s="337" t="s">
        <v>274</v>
      </c>
    </row>
    <row r="21" spans="1:9">
      <c r="D21" s="337" t="s">
        <v>355</v>
      </c>
    </row>
    <row r="22" spans="1:9">
      <c r="B22" s="337" t="s">
        <v>354</v>
      </c>
    </row>
    <row r="23" spans="1:9">
      <c r="D23" s="337" t="s">
        <v>385</v>
      </c>
    </row>
    <row r="24" spans="1:9">
      <c r="B24" s="337" t="s">
        <v>358</v>
      </c>
      <c r="D24" s="337" t="s">
        <v>362</v>
      </c>
    </row>
    <row r="25" spans="1:9">
      <c r="D25" s="337" t="s">
        <v>368</v>
      </c>
    </row>
    <row r="26" spans="1:9">
      <c r="B26" s="337" t="s">
        <v>360</v>
      </c>
      <c r="D26" s="337" t="s">
        <v>371</v>
      </c>
    </row>
    <row r="28" spans="1:9">
      <c r="B28" s="337" t="s">
        <v>64</v>
      </c>
      <c r="D28" s="337" t="s">
        <v>349</v>
      </c>
    </row>
    <row r="29" spans="1:9">
      <c r="A29" s="365"/>
      <c r="B29" s="365"/>
      <c r="C29" s="365"/>
      <c r="D29" s="365"/>
      <c r="E29" s="365"/>
      <c r="F29" s="365"/>
      <c r="G29" s="365"/>
      <c r="H29" s="365"/>
      <c r="I29" s="365"/>
    </row>
    <row r="30" spans="1:9">
      <c r="B30" s="337" t="s">
        <v>337</v>
      </c>
      <c r="D30" s="337" t="s">
        <v>376</v>
      </c>
    </row>
    <row r="32" spans="1:9">
      <c r="D32" s="337" t="s">
        <v>372</v>
      </c>
    </row>
    <row r="34" spans="4:4">
      <c r="D34" s="337" t="s">
        <v>374</v>
      </c>
    </row>
  </sheetData>
  <mergeCells count="1">
    <mergeCell ref="A13:C13"/>
  </mergeCells>
  <phoneticPr fontId="1"/>
  <pageMargins left="0.70866141732283472" right="0.11811023622047245" top="0.74803149606299213" bottom="0.35433070866141736" header="0" footer="0"/>
  <pageSetup paperSize="9" scale="91"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D4F3B5"/>
  </sheetPr>
  <dimension ref="A1:H27"/>
  <sheetViews>
    <sheetView view="pageBreakPreview" zoomScale="60" workbookViewId="0">
      <selection activeCell="AC55" sqref="AC55"/>
    </sheetView>
  </sheetViews>
  <sheetFormatPr defaultRowHeight="13.5"/>
  <cols>
    <col min="1" max="1" width="3.5" customWidth="1"/>
    <col min="2" max="2" width="12.25" customWidth="1"/>
    <col min="3" max="8" width="13.5" customWidth="1"/>
    <col min="257" max="257" width="3.5" customWidth="1"/>
    <col min="258" max="258" width="12.25" customWidth="1"/>
    <col min="259" max="264" width="13.5" customWidth="1"/>
    <col min="513" max="513" width="3.5" customWidth="1"/>
    <col min="514" max="514" width="12.25" customWidth="1"/>
    <col min="515" max="520" width="13.5" customWidth="1"/>
    <col min="769" max="769" width="3.5" customWidth="1"/>
    <col min="770" max="770" width="12.25" customWidth="1"/>
    <col min="771" max="776" width="13.5" customWidth="1"/>
    <col min="1025" max="1025" width="3.5" customWidth="1"/>
    <col min="1026" max="1026" width="12.25" customWidth="1"/>
    <col min="1027" max="1032" width="13.5" customWidth="1"/>
    <col min="1281" max="1281" width="3.5" customWidth="1"/>
    <col min="1282" max="1282" width="12.25" customWidth="1"/>
    <col min="1283" max="1288" width="13.5" customWidth="1"/>
    <col min="1537" max="1537" width="3.5" customWidth="1"/>
    <col min="1538" max="1538" width="12.25" customWidth="1"/>
    <col min="1539" max="1544" width="13.5" customWidth="1"/>
    <col min="1793" max="1793" width="3.5" customWidth="1"/>
    <col min="1794" max="1794" width="12.25" customWidth="1"/>
    <col min="1795" max="1800" width="13.5" customWidth="1"/>
    <col min="2049" max="2049" width="3.5" customWidth="1"/>
    <col min="2050" max="2050" width="12.25" customWidth="1"/>
    <col min="2051" max="2056" width="13.5" customWidth="1"/>
    <col min="2305" max="2305" width="3.5" customWidth="1"/>
    <col min="2306" max="2306" width="12.25" customWidth="1"/>
    <col min="2307" max="2312" width="13.5" customWidth="1"/>
    <col min="2561" max="2561" width="3.5" customWidth="1"/>
    <col min="2562" max="2562" width="12.25" customWidth="1"/>
    <col min="2563" max="2568" width="13.5" customWidth="1"/>
    <col min="2817" max="2817" width="3.5" customWidth="1"/>
    <col min="2818" max="2818" width="12.25" customWidth="1"/>
    <col min="2819" max="2824" width="13.5" customWidth="1"/>
    <col min="3073" max="3073" width="3.5" customWidth="1"/>
    <col min="3074" max="3074" width="12.25" customWidth="1"/>
    <col min="3075" max="3080" width="13.5" customWidth="1"/>
    <col min="3329" max="3329" width="3.5" customWidth="1"/>
    <col min="3330" max="3330" width="12.25" customWidth="1"/>
    <col min="3331" max="3336" width="13.5" customWidth="1"/>
    <col min="3585" max="3585" width="3.5" customWidth="1"/>
    <col min="3586" max="3586" width="12.25" customWidth="1"/>
    <col min="3587" max="3592" width="13.5" customWidth="1"/>
    <col min="3841" max="3841" width="3.5" customWidth="1"/>
    <col min="3842" max="3842" width="12.25" customWidth="1"/>
    <col min="3843" max="3848" width="13.5" customWidth="1"/>
    <col min="4097" max="4097" width="3.5" customWidth="1"/>
    <col min="4098" max="4098" width="12.25" customWidth="1"/>
    <col min="4099" max="4104" width="13.5" customWidth="1"/>
    <col min="4353" max="4353" width="3.5" customWidth="1"/>
    <col min="4354" max="4354" width="12.25" customWidth="1"/>
    <col min="4355" max="4360" width="13.5" customWidth="1"/>
    <col min="4609" max="4609" width="3.5" customWidth="1"/>
    <col min="4610" max="4610" width="12.25" customWidth="1"/>
    <col min="4611" max="4616" width="13.5" customWidth="1"/>
    <col min="4865" max="4865" width="3.5" customWidth="1"/>
    <col min="4866" max="4866" width="12.25" customWidth="1"/>
    <col min="4867" max="4872" width="13.5" customWidth="1"/>
    <col min="5121" max="5121" width="3.5" customWidth="1"/>
    <col min="5122" max="5122" width="12.25" customWidth="1"/>
    <col min="5123" max="5128" width="13.5" customWidth="1"/>
    <col min="5377" max="5377" width="3.5" customWidth="1"/>
    <col min="5378" max="5378" width="12.25" customWidth="1"/>
    <col min="5379" max="5384" width="13.5" customWidth="1"/>
    <col min="5633" max="5633" width="3.5" customWidth="1"/>
    <col min="5634" max="5634" width="12.25" customWidth="1"/>
    <col min="5635" max="5640" width="13.5" customWidth="1"/>
    <col min="5889" max="5889" width="3.5" customWidth="1"/>
    <col min="5890" max="5890" width="12.25" customWidth="1"/>
    <col min="5891" max="5896" width="13.5" customWidth="1"/>
    <col min="6145" max="6145" width="3.5" customWidth="1"/>
    <col min="6146" max="6146" width="12.25" customWidth="1"/>
    <col min="6147" max="6152" width="13.5" customWidth="1"/>
    <col min="6401" max="6401" width="3.5" customWidth="1"/>
    <col min="6402" max="6402" width="12.25" customWidth="1"/>
    <col min="6403" max="6408" width="13.5" customWidth="1"/>
    <col min="6657" max="6657" width="3.5" customWidth="1"/>
    <col min="6658" max="6658" width="12.25" customWidth="1"/>
    <col min="6659" max="6664" width="13.5" customWidth="1"/>
    <col min="6913" max="6913" width="3.5" customWidth="1"/>
    <col min="6914" max="6914" width="12.25" customWidth="1"/>
    <col min="6915" max="6920" width="13.5" customWidth="1"/>
    <col min="7169" max="7169" width="3.5" customWidth="1"/>
    <col min="7170" max="7170" width="12.25" customWidth="1"/>
    <col min="7171" max="7176" width="13.5" customWidth="1"/>
    <col min="7425" max="7425" width="3.5" customWidth="1"/>
    <col min="7426" max="7426" width="12.25" customWidth="1"/>
    <col min="7427" max="7432" width="13.5" customWidth="1"/>
    <col min="7681" max="7681" width="3.5" customWidth="1"/>
    <col min="7682" max="7682" width="12.25" customWidth="1"/>
    <col min="7683" max="7688" width="13.5" customWidth="1"/>
    <col min="7937" max="7937" width="3.5" customWidth="1"/>
    <col min="7938" max="7938" width="12.25" customWidth="1"/>
    <col min="7939" max="7944" width="13.5" customWidth="1"/>
    <col min="8193" max="8193" width="3.5" customWidth="1"/>
    <col min="8194" max="8194" width="12.25" customWidth="1"/>
    <col min="8195" max="8200" width="13.5" customWidth="1"/>
    <col min="8449" max="8449" width="3.5" customWidth="1"/>
    <col min="8450" max="8450" width="12.25" customWidth="1"/>
    <col min="8451" max="8456" width="13.5" customWidth="1"/>
    <col min="8705" max="8705" width="3.5" customWidth="1"/>
    <col min="8706" max="8706" width="12.25" customWidth="1"/>
    <col min="8707" max="8712" width="13.5" customWidth="1"/>
    <col min="8961" max="8961" width="3.5" customWidth="1"/>
    <col min="8962" max="8962" width="12.25" customWidth="1"/>
    <col min="8963" max="8968" width="13.5" customWidth="1"/>
    <col min="9217" max="9217" width="3.5" customWidth="1"/>
    <col min="9218" max="9218" width="12.25" customWidth="1"/>
    <col min="9219" max="9224" width="13.5" customWidth="1"/>
    <col min="9473" max="9473" width="3.5" customWidth="1"/>
    <col min="9474" max="9474" width="12.25" customWidth="1"/>
    <col min="9475" max="9480" width="13.5" customWidth="1"/>
    <col min="9729" max="9729" width="3.5" customWidth="1"/>
    <col min="9730" max="9730" width="12.25" customWidth="1"/>
    <col min="9731" max="9736" width="13.5" customWidth="1"/>
    <col min="9985" max="9985" width="3.5" customWidth="1"/>
    <col min="9986" max="9986" width="12.25" customWidth="1"/>
    <col min="9987" max="9992" width="13.5" customWidth="1"/>
    <col min="10241" max="10241" width="3.5" customWidth="1"/>
    <col min="10242" max="10242" width="12.25" customWidth="1"/>
    <col min="10243" max="10248" width="13.5" customWidth="1"/>
    <col min="10497" max="10497" width="3.5" customWidth="1"/>
    <col min="10498" max="10498" width="12.25" customWidth="1"/>
    <col min="10499" max="10504" width="13.5" customWidth="1"/>
    <col min="10753" max="10753" width="3.5" customWidth="1"/>
    <col min="10754" max="10754" width="12.25" customWidth="1"/>
    <col min="10755" max="10760" width="13.5" customWidth="1"/>
    <col min="11009" max="11009" width="3.5" customWidth="1"/>
    <col min="11010" max="11010" width="12.25" customWidth="1"/>
    <col min="11011" max="11016" width="13.5" customWidth="1"/>
    <col min="11265" max="11265" width="3.5" customWidth="1"/>
    <col min="11266" max="11266" width="12.25" customWidth="1"/>
    <col min="11267" max="11272" width="13.5" customWidth="1"/>
    <col min="11521" max="11521" width="3.5" customWidth="1"/>
    <col min="11522" max="11522" width="12.25" customWidth="1"/>
    <col min="11523" max="11528" width="13.5" customWidth="1"/>
    <col min="11777" max="11777" width="3.5" customWidth="1"/>
    <col min="11778" max="11778" width="12.25" customWidth="1"/>
    <col min="11779" max="11784" width="13.5" customWidth="1"/>
    <col min="12033" max="12033" width="3.5" customWidth="1"/>
    <col min="12034" max="12034" width="12.25" customWidth="1"/>
    <col min="12035" max="12040" width="13.5" customWidth="1"/>
    <col min="12289" max="12289" width="3.5" customWidth="1"/>
    <col min="12290" max="12290" width="12.25" customWidth="1"/>
    <col min="12291" max="12296" width="13.5" customWidth="1"/>
    <col min="12545" max="12545" width="3.5" customWidth="1"/>
    <col min="12546" max="12546" width="12.25" customWidth="1"/>
    <col min="12547" max="12552" width="13.5" customWidth="1"/>
    <col min="12801" max="12801" width="3.5" customWidth="1"/>
    <col min="12802" max="12802" width="12.25" customWidth="1"/>
    <col min="12803" max="12808" width="13.5" customWidth="1"/>
    <col min="13057" max="13057" width="3.5" customWidth="1"/>
    <col min="13058" max="13058" width="12.25" customWidth="1"/>
    <col min="13059" max="13064" width="13.5" customWidth="1"/>
    <col min="13313" max="13313" width="3.5" customWidth="1"/>
    <col min="13314" max="13314" width="12.25" customWidth="1"/>
    <col min="13315" max="13320" width="13.5" customWidth="1"/>
    <col min="13569" max="13569" width="3.5" customWidth="1"/>
    <col min="13570" max="13570" width="12.25" customWidth="1"/>
    <col min="13571" max="13576" width="13.5" customWidth="1"/>
    <col min="13825" max="13825" width="3.5" customWidth="1"/>
    <col min="13826" max="13826" width="12.25" customWidth="1"/>
    <col min="13827" max="13832" width="13.5" customWidth="1"/>
    <col min="14081" max="14081" width="3.5" customWidth="1"/>
    <col min="14082" max="14082" width="12.25" customWidth="1"/>
    <col min="14083" max="14088" width="13.5" customWidth="1"/>
    <col min="14337" max="14337" width="3.5" customWidth="1"/>
    <col min="14338" max="14338" width="12.25" customWidth="1"/>
    <col min="14339" max="14344" width="13.5" customWidth="1"/>
    <col min="14593" max="14593" width="3.5" customWidth="1"/>
    <col min="14594" max="14594" width="12.25" customWidth="1"/>
    <col min="14595" max="14600" width="13.5" customWidth="1"/>
    <col min="14849" max="14849" width="3.5" customWidth="1"/>
    <col min="14850" max="14850" width="12.25" customWidth="1"/>
    <col min="14851" max="14856" width="13.5" customWidth="1"/>
    <col min="15105" max="15105" width="3.5" customWidth="1"/>
    <col min="15106" max="15106" width="12.25" customWidth="1"/>
    <col min="15107" max="15112" width="13.5" customWidth="1"/>
    <col min="15361" max="15361" width="3.5" customWidth="1"/>
    <col min="15362" max="15362" width="12.25" customWidth="1"/>
    <col min="15363" max="15368" width="13.5" customWidth="1"/>
    <col min="15617" max="15617" width="3.5" customWidth="1"/>
    <col min="15618" max="15618" width="12.25" customWidth="1"/>
    <col min="15619" max="15624" width="13.5" customWidth="1"/>
    <col min="15873" max="15873" width="3.5" customWidth="1"/>
    <col min="15874" max="15874" width="12.25" customWidth="1"/>
    <col min="15875" max="15880" width="13.5" customWidth="1"/>
    <col min="16129" max="16129" width="3.5" customWidth="1"/>
    <col min="16130" max="16130" width="12.25" customWidth="1"/>
    <col min="16131" max="16136" width="13.5" customWidth="1"/>
  </cols>
  <sheetData>
    <row r="1" spans="1:8">
      <c r="A1" t="s">
        <v>928</v>
      </c>
      <c r="F1" t="s">
        <v>852</v>
      </c>
    </row>
    <row r="3" spans="1:8">
      <c r="B3" t="s">
        <v>315</v>
      </c>
    </row>
    <row r="4" spans="1:8" ht="5.25" customHeight="1"/>
    <row r="5" spans="1:8" ht="28.5" customHeight="1">
      <c r="B5" s="370" t="s">
        <v>731</v>
      </c>
      <c r="C5" s="374" t="s">
        <v>319</v>
      </c>
      <c r="D5" s="377"/>
      <c r="E5" s="380"/>
      <c r="F5" s="370" t="s">
        <v>369</v>
      </c>
      <c r="G5" s="370"/>
      <c r="H5" s="370"/>
    </row>
    <row r="6" spans="1:8" ht="28.5" customHeight="1">
      <c r="B6" s="370" t="s">
        <v>834</v>
      </c>
      <c r="C6" s="375" t="s">
        <v>835</v>
      </c>
      <c r="D6" s="378"/>
      <c r="E6" s="379"/>
      <c r="F6" s="244" t="s">
        <v>836</v>
      </c>
      <c r="G6" s="244"/>
      <c r="H6" s="244"/>
    </row>
    <row r="7" spans="1:8" ht="28.5" customHeight="1">
      <c r="B7" s="370" t="s">
        <v>837</v>
      </c>
      <c r="C7" s="375" t="s">
        <v>835</v>
      </c>
      <c r="D7" s="378"/>
      <c r="E7" s="379"/>
      <c r="F7" s="244" t="s">
        <v>838</v>
      </c>
      <c r="G7" s="244"/>
      <c r="H7" s="244"/>
    </row>
    <row r="8" spans="1:8" ht="28.5" customHeight="1">
      <c r="B8" s="370" t="s">
        <v>861</v>
      </c>
      <c r="C8" s="375" t="s">
        <v>835</v>
      </c>
      <c r="D8" s="378"/>
      <c r="E8" s="379"/>
      <c r="F8" s="381"/>
      <c r="G8" s="382"/>
      <c r="H8" s="383"/>
    </row>
    <row r="9" spans="1:8" ht="28.5" customHeight="1">
      <c r="B9" s="370" t="s">
        <v>840</v>
      </c>
      <c r="C9" s="375" t="s">
        <v>835</v>
      </c>
      <c r="D9" s="378"/>
      <c r="E9" s="379"/>
      <c r="F9" s="6" t="s">
        <v>841</v>
      </c>
      <c r="G9" s="6"/>
      <c r="H9" s="6"/>
    </row>
    <row r="10" spans="1:8" ht="27">
      <c r="B10" s="371" t="s">
        <v>65</v>
      </c>
      <c r="C10" s="375" t="s">
        <v>835</v>
      </c>
      <c r="D10" s="378"/>
      <c r="E10" s="379"/>
      <c r="F10" s="6"/>
      <c r="G10" s="6"/>
      <c r="H10" s="6"/>
    </row>
    <row r="13" spans="1:8">
      <c r="B13" t="s">
        <v>842</v>
      </c>
    </row>
    <row r="14" spans="1:8" ht="6" customHeight="1"/>
    <row r="15" spans="1:8" ht="32.25" customHeight="1">
      <c r="B15" s="372"/>
      <c r="C15" s="72" t="s">
        <v>844</v>
      </c>
      <c r="D15" s="72"/>
      <c r="E15" s="72" t="s">
        <v>163</v>
      </c>
      <c r="F15" s="72"/>
      <c r="G15" s="224" t="s">
        <v>846</v>
      </c>
      <c r="H15" s="72"/>
    </row>
    <row r="16" spans="1:8" ht="17.25" customHeight="1">
      <c r="B16" s="373"/>
      <c r="C16" s="118" t="s">
        <v>689</v>
      </c>
      <c r="D16" s="91" t="s">
        <v>290</v>
      </c>
      <c r="E16" s="118" t="s">
        <v>689</v>
      </c>
      <c r="F16" s="91" t="s">
        <v>290</v>
      </c>
      <c r="G16" s="118" t="s">
        <v>689</v>
      </c>
      <c r="H16" s="91" t="s">
        <v>290</v>
      </c>
    </row>
    <row r="17" spans="2:8" ht="28.5" customHeight="1">
      <c r="B17" s="370" t="s">
        <v>847</v>
      </c>
      <c r="C17" s="375" t="s">
        <v>118</v>
      </c>
      <c r="D17" s="379" t="s">
        <v>835</v>
      </c>
      <c r="E17" s="375" t="s">
        <v>118</v>
      </c>
      <c r="F17" s="379" t="s">
        <v>835</v>
      </c>
      <c r="G17" s="375" t="s">
        <v>118</v>
      </c>
      <c r="H17" s="379" t="s">
        <v>835</v>
      </c>
    </row>
    <row r="18" spans="2:8" ht="30" customHeight="1">
      <c r="B18" s="370" t="s">
        <v>848</v>
      </c>
      <c r="C18" s="375" t="s">
        <v>118</v>
      </c>
      <c r="D18" s="379" t="s">
        <v>835</v>
      </c>
      <c r="E18" s="375" t="s">
        <v>118</v>
      </c>
      <c r="F18" s="379" t="s">
        <v>835</v>
      </c>
      <c r="G18" s="375" t="s">
        <v>118</v>
      </c>
      <c r="H18" s="379" t="s">
        <v>835</v>
      </c>
    </row>
    <row r="19" spans="2:8" ht="27">
      <c r="B19" s="371" t="s">
        <v>849</v>
      </c>
      <c r="C19" s="375" t="s">
        <v>118</v>
      </c>
      <c r="D19" s="379" t="s">
        <v>835</v>
      </c>
      <c r="E19" s="375" t="s">
        <v>118</v>
      </c>
      <c r="F19" s="379" t="s">
        <v>835</v>
      </c>
      <c r="G19" s="375" t="s">
        <v>118</v>
      </c>
      <c r="H19" s="379" t="s">
        <v>835</v>
      </c>
    </row>
    <row r="20" spans="2:8" ht="27">
      <c r="B20" s="371" t="s">
        <v>104</v>
      </c>
      <c r="C20" s="375" t="s">
        <v>118</v>
      </c>
      <c r="D20" s="379" t="s">
        <v>835</v>
      </c>
      <c r="E20" s="375" t="s">
        <v>118</v>
      </c>
      <c r="F20" s="379" t="s">
        <v>835</v>
      </c>
      <c r="G20" s="375" t="s">
        <v>118</v>
      </c>
      <c r="H20" s="379" t="s">
        <v>835</v>
      </c>
    </row>
    <row r="21" spans="2:8" ht="28.5" customHeight="1">
      <c r="B21" s="370" t="s">
        <v>850</v>
      </c>
      <c r="C21" s="375" t="s">
        <v>118</v>
      </c>
      <c r="D21" s="379" t="s">
        <v>835</v>
      </c>
      <c r="E21" s="375" t="s">
        <v>118</v>
      </c>
      <c r="F21" s="379" t="s">
        <v>835</v>
      </c>
      <c r="G21" s="375" t="s">
        <v>118</v>
      </c>
      <c r="H21" s="379" t="s">
        <v>835</v>
      </c>
    </row>
    <row r="22" spans="2:8" ht="28.5" customHeight="1">
      <c r="B22" s="370" t="s">
        <v>303</v>
      </c>
      <c r="C22" s="375" t="s">
        <v>118</v>
      </c>
      <c r="D22" s="379" t="s">
        <v>835</v>
      </c>
      <c r="E22" s="375" t="s">
        <v>118</v>
      </c>
      <c r="F22" s="379" t="s">
        <v>835</v>
      </c>
      <c r="G22" s="375" t="s">
        <v>118</v>
      </c>
      <c r="H22" s="379" t="s">
        <v>835</v>
      </c>
    </row>
    <row r="23" spans="2:8" ht="31.5" customHeight="1">
      <c r="B23" s="370" t="s">
        <v>768</v>
      </c>
      <c r="C23" s="375" t="s">
        <v>118</v>
      </c>
      <c r="D23" s="379" t="s">
        <v>835</v>
      </c>
      <c r="E23" s="375" t="s">
        <v>118</v>
      </c>
      <c r="F23" s="379" t="s">
        <v>835</v>
      </c>
      <c r="G23" s="375" t="s">
        <v>118</v>
      </c>
      <c r="H23" s="379" t="s">
        <v>835</v>
      </c>
    </row>
    <row r="24" spans="2:8" ht="40.5">
      <c r="B24" s="371" t="s">
        <v>640</v>
      </c>
      <c r="C24" s="375" t="s">
        <v>118</v>
      </c>
      <c r="D24" s="379" t="s">
        <v>835</v>
      </c>
      <c r="E24" s="375" t="s">
        <v>118</v>
      </c>
      <c r="F24" s="379" t="s">
        <v>835</v>
      </c>
      <c r="G24" s="375" t="s">
        <v>118</v>
      </c>
      <c r="H24" s="379" t="s">
        <v>835</v>
      </c>
    </row>
    <row r="25" spans="2:8" ht="5.25" customHeight="1">
      <c r="B25" s="341"/>
      <c r="C25" s="376"/>
      <c r="D25" s="376"/>
      <c r="E25" s="376"/>
      <c r="F25" s="376"/>
      <c r="G25" s="376"/>
      <c r="H25" s="376"/>
    </row>
    <row r="26" spans="2:8">
      <c r="B26" s="325" t="s">
        <v>858</v>
      </c>
    </row>
    <row r="27" spans="2:8">
      <c r="B27" t="s">
        <v>179</v>
      </c>
    </row>
  </sheetData>
  <mergeCells count="16">
    <mergeCell ref="C5:E5"/>
    <mergeCell ref="F5:H5"/>
    <mergeCell ref="C6:E6"/>
    <mergeCell ref="F6:H6"/>
    <mergeCell ref="C7:E7"/>
    <mergeCell ref="F7:H7"/>
    <mergeCell ref="C8:E8"/>
    <mergeCell ref="F8:H8"/>
    <mergeCell ref="C9:E9"/>
    <mergeCell ref="F9:H9"/>
    <mergeCell ref="C10:E10"/>
    <mergeCell ref="F10:H10"/>
    <mergeCell ref="C15:D15"/>
    <mergeCell ref="E15:F15"/>
    <mergeCell ref="G15:H15"/>
    <mergeCell ref="B15:B16"/>
  </mergeCells>
  <phoneticPr fontId="1"/>
  <pageMargins left="0.7" right="0.7" top="0.75" bottom="0.75" header="0.3" footer="0.3"/>
  <pageSetup paperSize="9" scale="9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0:I50"/>
  <sheetViews>
    <sheetView view="pageBreakPreview" zoomScale="60" workbookViewId="0">
      <selection activeCell="AE76" sqref="AE76"/>
    </sheetView>
  </sheetViews>
  <sheetFormatPr defaultRowHeight="13.5"/>
  <cols>
    <col min="2" max="2" width="6.875" customWidth="1"/>
    <col min="258" max="258" width="6.875" customWidth="1"/>
    <col min="514" max="514" width="6.875" customWidth="1"/>
    <col min="770" max="770" width="6.875" customWidth="1"/>
    <col min="1026" max="1026" width="6.875" customWidth="1"/>
    <col min="1282" max="1282" width="6.875" customWidth="1"/>
    <col min="1538" max="1538" width="6.875" customWidth="1"/>
    <col min="1794" max="1794" width="6.875" customWidth="1"/>
    <col min="2050" max="2050" width="6.875" customWidth="1"/>
    <col min="2306" max="2306" width="6.875" customWidth="1"/>
    <col min="2562" max="2562" width="6.875" customWidth="1"/>
    <col min="2818" max="2818" width="6.875" customWidth="1"/>
    <col min="3074" max="3074" width="6.875" customWidth="1"/>
    <col min="3330" max="3330" width="6.875" customWidth="1"/>
    <col min="3586" max="3586" width="6.875" customWidth="1"/>
    <col min="3842" max="3842" width="6.875" customWidth="1"/>
    <col min="4098" max="4098" width="6.875" customWidth="1"/>
    <col min="4354" max="4354" width="6.875" customWidth="1"/>
    <col min="4610" max="4610" width="6.875" customWidth="1"/>
    <col min="4866" max="4866" width="6.875" customWidth="1"/>
    <col min="5122" max="5122" width="6.875" customWidth="1"/>
    <col min="5378" max="5378" width="6.875" customWidth="1"/>
    <col min="5634" max="5634" width="6.875" customWidth="1"/>
    <col min="5890" max="5890" width="6.875" customWidth="1"/>
    <col min="6146" max="6146" width="6.875" customWidth="1"/>
    <col min="6402" max="6402" width="6.875" customWidth="1"/>
    <col min="6658" max="6658" width="6.875" customWidth="1"/>
    <col min="6914" max="6914" width="6.875" customWidth="1"/>
    <col min="7170" max="7170" width="6.875" customWidth="1"/>
    <col min="7426" max="7426" width="6.875" customWidth="1"/>
    <col min="7682" max="7682" width="6.875" customWidth="1"/>
    <col min="7938" max="7938" width="6.875" customWidth="1"/>
    <col min="8194" max="8194" width="6.875" customWidth="1"/>
    <col min="8450" max="8450" width="6.875" customWidth="1"/>
    <col min="8706" max="8706" width="6.875" customWidth="1"/>
    <col min="8962" max="8962" width="6.875" customWidth="1"/>
    <col min="9218" max="9218" width="6.875" customWidth="1"/>
    <col min="9474" max="9474" width="6.875" customWidth="1"/>
    <col min="9730" max="9730" width="6.875" customWidth="1"/>
    <col min="9986" max="9986" width="6.875" customWidth="1"/>
    <col min="10242" max="10242" width="6.875" customWidth="1"/>
    <col min="10498" max="10498" width="6.875" customWidth="1"/>
    <col min="10754" max="10754" width="6.875" customWidth="1"/>
    <col min="11010" max="11010" width="6.875" customWidth="1"/>
    <col min="11266" max="11266" width="6.875" customWidth="1"/>
    <col min="11522" max="11522" width="6.875" customWidth="1"/>
    <col min="11778" max="11778" width="6.875" customWidth="1"/>
    <col min="12034" max="12034" width="6.875" customWidth="1"/>
    <col min="12290" max="12290" width="6.875" customWidth="1"/>
    <col min="12546" max="12546" width="6.875" customWidth="1"/>
    <col min="12802" max="12802" width="6.875" customWidth="1"/>
    <col min="13058" max="13058" width="6.875" customWidth="1"/>
    <col min="13314" max="13314" width="6.875" customWidth="1"/>
    <col min="13570" max="13570" width="6.875" customWidth="1"/>
    <col min="13826" max="13826" width="6.875" customWidth="1"/>
    <col min="14082" max="14082" width="6.875" customWidth="1"/>
    <col min="14338" max="14338" width="6.875" customWidth="1"/>
    <col min="14594" max="14594" width="6.875" customWidth="1"/>
    <col min="14850" max="14850" width="6.875" customWidth="1"/>
    <col min="15106" max="15106" width="6.875" customWidth="1"/>
    <col min="15362" max="15362" width="6.875" customWidth="1"/>
    <col min="15618" max="15618" width="6.875" customWidth="1"/>
    <col min="15874" max="15874" width="6.875" customWidth="1"/>
    <col min="16130" max="16130" width="6.875" customWidth="1"/>
  </cols>
  <sheetData>
    <row r="10" spans="1:9">
      <c r="A10" s="13"/>
      <c r="B10" s="13"/>
      <c r="C10" s="15" t="s">
        <v>931</v>
      </c>
      <c r="D10" s="16"/>
      <c r="E10" s="16"/>
      <c r="F10" s="16"/>
      <c r="G10" s="16"/>
      <c r="H10" s="16"/>
      <c r="I10" s="13"/>
    </row>
    <row r="11" spans="1:9">
      <c r="A11" s="13"/>
      <c r="B11" s="13"/>
      <c r="C11" s="16"/>
      <c r="D11" s="16"/>
      <c r="E11" s="16"/>
      <c r="F11" s="16"/>
      <c r="G11" s="16"/>
      <c r="H11" s="16"/>
      <c r="I11" s="13"/>
    </row>
    <row r="12" spans="1:9">
      <c r="A12" s="13"/>
      <c r="B12" s="13"/>
      <c r="C12" s="16"/>
      <c r="D12" s="16"/>
      <c r="E12" s="16"/>
      <c r="F12" s="16"/>
      <c r="G12" s="16"/>
      <c r="H12" s="16"/>
      <c r="I12" s="13"/>
    </row>
    <row r="13" spans="1:9">
      <c r="A13" s="13"/>
      <c r="B13" s="13"/>
      <c r="C13" s="16"/>
      <c r="D13" s="16"/>
      <c r="E13" s="16"/>
      <c r="F13" s="16"/>
      <c r="G13" s="16"/>
      <c r="H13" s="16"/>
      <c r="I13" s="13"/>
    </row>
    <row r="14" spans="1:9">
      <c r="A14" s="13"/>
      <c r="B14" s="13"/>
      <c r="C14" s="16"/>
      <c r="D14" s="16"/>
      <c r="E14" s="16"/>
      <c r="F14" s="16"/>
      <c r="G14" s="16"/>
      <c r="H14" s="16"/>
      <c r="I14" s="13"/>
    </row>
    <row r="15" spans="1:9">
      <c r="A15" s="13"/>
      <c r="B15" s="13"/>
      <c r="C15" s="16"/>
      <c r="D15" s="16"/>
      <c r="E15" s="16"/>
      <c r="F15" s="16"/>
      <c r="G15" s="16"/>
      <c r="H15" s="16"/>
      <c r="I15" s="13"/>
    </row>
    <row r="16" spans="1:9">
      <c r="A16" s="13"/>
      <c r="B16" s="13"/>
      <c r="C16" s="16"/>
      <c r="D16" s="16"/>
      <c r="E16" s="16"/>
      <c r="F16" s="16"/>
      <c r="G16" s="16"/>
      <c r="H16" s="16"/>
      <c r="I16" s="13"/>
    </row>
    <row r="17" spans="1:9">
      <c r="A17" s="13"/>
      <c r="B17" s="13"/>
      <c r="C17" s="16"/>
      <c r="D17" s="16"/>
      <c r="E17" s="16"/>
      <c r="F17" s="16"/>
      <c r="G17" s="16"/>
      <c r="H17" s="16"/>
      <c r="I17" s="13"/>
    </row>
    <row r="18" spans="1:9">
      <c r="A18" s="13"/>
      <c r="B18" s="13"/>
      <c r="C18" s="16"/>
      <c r="D18" s="16"/>
      <c r="E18" s="16"/>
      <c r="F18" s="16"/>
      <c r="G18" s="16"/>
      <c r="H18" s="16"/>
      <c r="I18" s="13"/>
    </row>
    <row r="19" spans="1:9">
      <c r="A19" s="13"/>
      <c r="B19" s="13"/>
      <c r="C19" s="16"/>
      <c r="D19" s="16"/>
      <c r="E19" s="16"/>
      <c r="F19" s="16"/>
      <c r="G19" s="16"/>
      <c r="H19" s="16"/>
      <c r="I19" s="13"/>
    </row>
    <row r="20" spans="1:9">
      <c r="A20" s="13"/>
      <c r="B20" s="13"/>
      <c r="C20" s="16"/>
      <c r="D20" s="23" t="s">
        <v>932</v>
      </c>
      <c r="E20" s="23"/>
      <c r="F20" s="23"/>
      <c r="G20" s="23"/>
      <c r="H20" s="16"/>
      <c r="I20" s="13"/>
    </row>
    <row r="21" spans="1:9">
      <c r="A21" s="13"/>
      <c r="B21" s="13"/>
      <c r="C21" s="16"/>
      <c r="D21" s="23"/>
      <c r="E21" s="23"/>
      <c r="F21" s="23"/>
      <c r="G21" s="23"/>
      <c r="H21" s="16"/>
      <c r="I21" s="13"/>
    </row>
    <row r="22" spans="1:9">
      <c r="A22" s="13"/>
      <c r="B22" s="13"/>
      <c r="C22" s="16"/>
      <c r="D22" s="23"/>
      <c r="E22" s="23"/>
      <c r="F22" s="23"/>
      <c r="G22" s="23"/>
      <c r="H22" s="16"/>
      <c r="I22" s="13"/>
    </row>
    <row r="23" spans="1:9">
      <c r="A23" s="13"/>
      <c r="B23" s="13"/>
      <c r="C23" s="16"/>
      <c r="D23" s="16"/>
      <c r="E23" s="16"/>
      <c r="F23" s="16"/>
      <c r="G23" s="16"/>
      <c r="H23" s="16"/>
      <c r="I23" s="13"/>
    </row>
    <row r="24" spans="1:9">
      <c r="A24" s="13"/>
      <c r="B24" s="13"/>
      <c r="C24" s="16"/>
      <c r="D24" s="16"/>
      <c r="E24" s="16"/>
      <c r="F24" s="16"/>
      <c r="G24" s="16"/>
      <c r="H24" s="16"/>
      <c r="I24" s="13"/>
    </row>
    <row r="25" spans="1:9" ht="17.25">
      <c r="A25" s="13"/>
      <c r="B25" s="14" t="s">
        <v>463</v>
      </c>
      <c r="C25" s="16"/>
      <c r="D25" s="16"/>
      <c r="E25" s="16"/>
      <c r="F25" s="16"/>
      <c r="G25" s="16"/>
      <c r="H25" s="16"/>
      <c r="I25" s="13"/>
    </row>
    <row r="26" spans="1:9" ht="14.25">
      <c r="A26" s="13"/>
      <c r="B26" s="13"/>
      <c r="C26" s="16"/>
      <c r="D26" s="16"/>
      <c r="E26" s="16"/>
      <c r="F26" s="16"/>
      <c r="G26" s="16"/>
      <c r="H26" s="16"/>
      <c r="I26" s="13"/>
    </row>
    <row r="27" spans="1:9" ht="15">
      <c r="A27" s="13"/>
      <c r="B27" s="13"/>
      <c r="C27" s="17" t="s">
        <v>569</v>
      </c>
      <c r="D27" s="24"/>
      <c r="E27" s="28" t="s">
        <v>405</v>
      </c>
      <c r="F27" s="24"/>
      <c r="G27" s="35"/>
      <c r="H27" s="24" t="s">
        <v>276</v>
      </c>
      <c r="I27" s="39"/>
    </row>
    <row r="28" spans="1:9" ht="14.25">
      <c r="A28" s="13"/>
      <c r="B28" s="13"/>
      <c r="C28" s="18" t="s">
        <v>934</v>
      </c>
      <c r="D28" s="25"/>
      <c r="E28" s="29"/>
      <c r="F28" s="32"/>
      <c r="G28" s="36"/>
      <c r="H28" s="32"/>
      <c r="I28" s="40"/>
    </row>
    <row r="29" spans="1:9" ht="14.25">
      <c r="A29" s="13"/>
      <c r="B29" s="13"/>
      <c r="C29" s="19" t="s">
        <v>936</v>
      </c>
      <c r="D29" s="26"/>
      <c r="E29" s="30"/>
      <c r="F29" s="33"/>
      <c r="G29" s="37"/>
      <c r="H29" s="33"/>
      <c r="I29" s="41"/>
    </row>
    <row r="30" spans="1:9" ht="14.25">
      <c r="A30" s="13"/>
      <c r="B30" s="13"/>
      <c r="C30" s="19" t="s">
        <v>937</v>
      </c>
      <c r="D30" s="26"/>
      <c r="E30" s="30"/>
      <c r="F30" s="33"/>
      <c r="G30" s="37"/>
      <c r="H30" s="33"/>
      <c r="I30" s="41"/>
    </row>
    <row r="31" spans="1:9" ht="14.25">
      <c r="A31" s="13"/>
      <c r="B31" s="13"/>
      <c r="C31" s="19" t="s">
        <v>892</v>
      </c>
      <c r="D31" s="26"/>
      <c r="E31" s="30"/>
      <c r="F31" s="33"/>
      <c r="G31" s="37"/>
      <c r="H31" s="33"/>
      <c r="I31" s="41"/>
    </row>
    <row r="32" spans="1:9" ht="14.25">
      <c r="A32" s="13"/>
      <c r="B32" s="13"/>
      <c r="C32" s="19" t="s">
        <v>938</v>
      </c>
      <c r="D32" s="26"/>
      <c r="E32" s="30"/>
      <c r="F32" s="33"/>
      <c r="G32" s="37"/>
      <c r="H32" s="33"/>
      <c r="I32" s="41"/>
    </row>
    <row r="33" spans="1:9" ht="14.25">
      <c r="A33" s="13"/>
      <c r="B33" s="13"/>
      <c r="C33" s="19" t="s">
        <v>631</v>
      </c>
      <c r="D33" s="26"/>
      <c r="E33" s="30"/>
      <c r="F33" s="33"/>
      <c r="G33" s="37"/>
      <c r="H33" s="33"/>
      <c r="I33" s="41"/>
    </row>
    <row r="34" spans="1:9" ht="14.25">
      <c r="C34" s="19" t="s">
        <v>939</v>
      </c>
      <c r="D34" s="26"/>
      <c r="E34" s="30"/>
      <c r="F34" s="33"/>
      <c r="G34" s="37"/>
      <c r="H34" s="33"/>
      <c r="I34" s="41"/>
    </row>
    <row r="35" spans="1:9" ht="14.25">
      <c r="C35" s="19"/>
      <c r="D35" s="26"/>
      <c r="E35" s="30"/>
      <c r="F35" s="33"/>
      <c r="G35" s="37"/>
      <c r="H35" s="33"/>
      <c r="I35" s="41"/>
    </row>
    <row r="36" spans="1:9" ht="14.25">
      <c r="C36" s="19"/>
      <c r="D36" s="26"/>
      <c r="E36" s="30"/>
      <c r="F36" s="33"/>
      <c r="G36" s="37"/>
      <c r="H36" s="33"/>
      <c r="I36" s="41"/>
    </row>
    <row r="37" spans="1:9" ht="15">
      <c r="C37" s="20"/>
      <c r="D37" s="27"/>
      <c r="E37" s="31"/>
      <c r="F37" s="34"/>
      <c r="G37" s="38"/>
      <c r="H37" s="34"/>
      <c r="I37" s="42"/>
    </row>
    <row r="38" spans="1:9">
      <c r="C38" s="21"/>
      <c r="E38" s="21" t="s">
        <v>622</v>
      </c>
    </row>
    <row r="41" spans="1:9">
      <c r="D41" s="23" t="s">
        <v>940</v>
      </c>
      <c r="E41" s="23"/>
      <c r="F41" s="23"/>
      <c r="G41" s="23"/>
    </row>
    <row r="42" spans="1:9">
      <c r="D42" s="23"/>
      <c r="E42" s="23"/>
      <c r="F42" s="23"/>
      <c r="G42" s="23"/>
    </row>
    <row r="47" spans="1:9">
      <c r="C47" s="22" t="s">
        <v>443</v>
      </c>
      <c r="D47" s="22"/>
      <c r="E47" s="22"/>
      <c r="F47" s="22"/>
      <c r="G47" s="22"/>
      <c r="H47" s="22"/>
    </row>
    <row r="48" spans="1:9">
      <c r="C48" s="22"/>
      <c r="D48" s="22"/>
      <c r="E48" s="22"/>
      <c r="F48" s="22"/>
      <c r="G48" s="22"/>
      <c r="H48" s="22"/>
    </row>
    <row r="49" spans="3:8">
      <c r="C49" s="22"/>
      <c r="D49" s="22"/>
      <c r="E49" s="22"/>
      <c r="F49" s="22"/>
      <c r="G49" s="22"/>
      <c r="H49" s="22"/>
    </row>
    <row r="50" spans="3:8">
      <c r="C50" s="22"/>
      <c r="D50" s="22"/>
      <c r="E50" s="22"/>
      <c r="F50" s="22"/>
      <c r="G50" s="22"/>
      <c r="H50" s="22"/>
    </row>
  </sheetData>
  <mergeCells count="37">
    <mergeCell ref="C27:D27"/>
    <mergeCell ref="E27:G27"/>
    <mergeCell ref="H27:I27"/>
    <mergeCell ref="C28:D28"/>
    <mergeCell ref="E28:G28"/>
    <mergeCell ref="H28:I28"/>
    <mergeCell ref="C29:D29"/>
    <mergeCell ref="E29:G29"/>
    <mergeCell ref="H29:I29"/>
    <mergeCell ref="C30:D30"/>
    <mergeCell ref="E30:G30"/>
    <mergeCell ref="H30:I30"/>
    <mergeCell ref="C31:D31"/>
    <mergeCell ref="E31:G31"/>
    <mergeCell ref="H31:I31"/>
    <mergeCell ref="C32:D32"/>
    <mergeCell ref="E32:G32"/>
    <mergeCell ref="H32:I32"/>
    <mergeCell ref="C33:D33"/>
    <mergeCell ref="E33:G33"/>
    <mergeCell ref="H33:I33"/>
    <mergeCell ref="C34:D34"/>
    <mergeCell ref="E34:G34"/>
    <mergeCell ref="H34:I34"/>
    <mergeCell ref="C35:D35"/>
    <mergeCell ref="E35:G35"/>
    <mergeCell ref="H35:I35"/>
    <mergeCell ref="C36:D36"/>
    <mergeCell ref="E36:G36"/>
    <mergeCell ref="H36:I36"/>
    <mergeCell ref="C37:D37"/>
    <mergeCell ref="E37:G37"/>
    <mergeCell ref="H37:I37"/>
    <mergeCell ref="D20:G22"/>
    <mergeCell ref="D41:G42"/>
    <mergeCell ref="C47:H50"/>
    <mergeCell ref="C10:H16"/>
  </mergeCells>
  <phoneticPr fontId="1"/>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D4F3B5"/>
  </sheetPr>
  <dimension ref="A1:O41"/>
  <sheetViews>
    <sheetView view="pageBreakPreview" topLeftCell="A10" zoomScale="60" workbookViewId="0">
      <selection activeCell="K18" sqref="K18:N20"/>
    </sheetView>
  </sheetViews>
  <sheetFormatPr defaultRowHeight="13.5"/>
  <cols>
    <col min="1" max="14" width="14.125" customWidth="1"/>
    <col min="15" max="15" width="12.75" customWidth="1"/>
  </cols>
  <sheetData>
    <row r="1" spans="1:15" ht="29.25" customHeight="1">
      <c r="A1" s="384" t="s">
        <v>1003</v>
      </c>
    </row>
    <row r="2" spans="1:15" ht="29.25" customHeight="1">
      <c r="A2" t="s">
        <v>534</v>
      </c>
    </row>
    <row r="3" spans="1:15" ht="29.25" customHeight="1">
      <c r="A3" t="s">
        <v>802</v>
      </c>
      <c r="G3" s="296"/>
    </row>
    <row r="4" spans="1:15" ht="10.5" customHeight="1"/>
    <row r="5" spans="1:15" ht="44.25" customHeight="1">
      <c r="A5" s="385" t="s">
        <v>1004</v>
      </c>
      <c r="B5" s="385"/>
      <c r="C5" s="407" t="s">
        <v>469</v>
      </c>
      <c r="D5" s="418"/>
      <c r="E5" s="428" t="s">
        <v>1005</v>
      </c>
      <c r="F5" s="441"/>
      <c r="G5" s="441"/>
      <c r="H5" s="441"/>
      <c r="I5" s="441"/>
      <c r="J5" s="441"/>
      <c r="K5" s="441"/>
      <c r="L5" s="441"/>
      <c r="M5" s="441"/>
      <c r="N5" s="457"/>
      <c r="O5" s="464"/>
    </row>
    <row r="6" spans="1:15" ht="44.25" customHeight="1">
      <c r="A6" s="386" t="s">
        <v>945</v>
      </c>
      <c r="B6" s="396" t="s">
        <v>1006</v>
      </c>
      <c r="C6" s="408" t="s">
        <v>260</v>
      </c>
      <c r="D6" s="419" t="s">
        <v>344</v>
      </c>
      <c r="E6" s="429" t="s">
        <v>635</v>
      </c>
      <c r="F6" s="396" t="s">
        <v>947</v>
      </c>
      <c r="G6" s="396" t="s">
        <v>948</v>
      </c>
      <c r="H6" s="396" t="s">
        <v>776</v>
      </c>
      <c r="I6" s="396" t="s">
        <v>950</v>
      </c>
      <c r="J6" s="396" t="s">
        <v>951</v>
      </c>
      <c r="K6" s="396" t="s">
        <v>953</v>
      </c>
      <c r="L6" s="396" t="s">
        <v>954</v>
      </c>
      <c r="M6" s="396" t="s">
        <v>209</v>
      </c>
      <c r="N6" s="458" t="s">
        <v>956</v>
      </c>
    </row>
    <row r="7" spans="1:15" ht="45.75" customHeight="1">
      <c r="A7" s="387" t="s">
        <v>713</v>
      </c>
      <c r="B7" s="397" t="s">
        <v>1243</v>
      </c>
      <c r="C7" s="409" t="s">
        <v>1251</v>
      </c>
      <c r="D7" s="420" t="s">
        <v>1258</v>
      </c>
      <c r="E7" s="430"/>
      <c r="F7" s="397"/>
      <c r="G7" s="397" t="s">
        <v>1265</v>
      </c>
      <c r="H7" s="397"/>
      <c r="I7" s="445"/>
      <c r="J7" s="445"/>
      <c r="K7" s="445"/>
      <c r="L7" s="445"/>
      <c r="M7" s="445"/>
      <c r="N7" s="459"/>
    </row>
    <row r="8" spans="1:15" ht="59.25" customHeight="1">
      <c r="A8" s="387"/>
      <c r="B8" s="397"/>
      <c r="C8" s="410" t="s">
        <v>1252</v>
      </c>
      <c r="D8" s="420"/>
      <c r="E8" s="431"/>
      <c r="F8" s="397"/>
      <c r="G8" s="397"/>
      <c r="H8" s="397"/>
      <c r="I8" s="445"/>
      <c r="J8" s="445"/>
      <c r="K8" s="445"/>
      <c r="L8" s="445"/>
      <c r="M8" s="445"/>
      <c r="N8" s="459"/>
    </row>
    <row r="9" spans="1:15" ht="30.75" customHeight="1">
      <c r="A9" s="388" t="s">
        <v>1236</v>
      </c>
      <c r="B9" s="398" t="s">
        <v>1245</v>
      </c>
      <c r="C9" s="411" t="s">
        <v>1253</v>
      </c>
      <c r="D9" s="420" t="s">
        <v>1259</v>
      </c>
      <c r="E9" s="430"/>
      <c r="F9" s="403"/>
      <c r="G9" s="403"/>
      <c r="H9" s="445" t="s">
        <v>1269</v>
      </c>
      <c r="I9" s="445"/>
      <c r="J9" s="450"/>
      <c r="K9" s="445"/>
      <c r="L9" s="445"/>
      <c r="M9" s="445"/>
      <c r="N9" s="459"/>
    </row>
    <row r="10" spans="1:15" ht="27" customHeight="1">
      <c r="A10" s="388"/>
      <c r="B10" s="399"/>
      <c r="C10" s="412" t="s">
        <v>1145</v>
      </c>
      <c r="D10" s="420"/>
      <c r="E10" s="432"/>
      <c r="F10" s="442"/>
      <c r="G10" s="442" t="s">
        <v>1259</v>
      </c>
      <c r="H10" s="445"/>
      <c r="I10" s="445"/>
      <c r="J10" s="450"/>
      <c r="K10" s="445"/>
      <c r="L10" s="445"/>
      <c r="M10" s="445"/>
      <c r="N10" s="459"/>
    </row>
    <row r="11" spans="1:15" ht="27.75" customHeight="1">
      <c r="A11" s="388"/>
      <c r="B11" s="399"/>
      <c r="C11" s="412" t="s">
        <v>1213</v>
      </c>
      <c r="D11" s="420"/>
      <c r="E11" s="432"/>
      <c r="F11" s="442"/>
      <c r="G11" s="448" t="s">
        <v>439</v>
      </c>
      <c r="H11" s="445"/>
      <c r="I11" s="445"/>
      <c r="J11" s="450"/>
      <c r="K11" s="445"/>
      <c r="L11" s="445"/>
      <c r="M11" s="445"/>
      <c r="N11" s="459"/>
    </row>
    <row r="12" spans="1:15" ht="27.75" customHeight="1">
      <c r="A12" s="388"/>
      <c r="B12" s="400"/>
      <c r="C12" s="413"/>
      <c r="D12" s="421"/>
      <c r="E12" s="432"/>
      <c r="F12" s="443"/>
      <c r="G12" s="449"/>
      <c r="H12" s="445"/>
      <c r="I12" s="445"/>
      <c r="J12" s="450"/>
      <c r="K12" s="445"/>
      <c r="L12" s="445"/>
      <c r="M12" s="445"/>
      <c r="N12" s="459"/>
    </row>
    <row r="13" spans="1:15" ht="45.75" customHeight="1">
      <c r="A13" s="389" t="s">
        <v>1237</v>
      </c>
      <c r="B13" t="s">
        <v>599</v>
      </c>
      <c r="C13" s="409" t="s">
        <v>1254</v>
      </c>
      <c r="D13" s="421" t="s">
        <v>1022</v>
      </c>
      <c r="E13" s="433" t="s">
        <v>1263</v>
      </c>
      <c r="F13" s="438" t="s">
        <v>1264</v>
      </c>
      <c r="G13" s="397" t="s">
        <v>1266</v>
      </c>
      <c r="H13" s="398" t="s">
        <v>1270</v>
      </c>
      <c r="I13" s="445" t="s">
        <v>59</v>
      </c>
      <c r="J13" s="445"/>
      <c r="K13" s="398" t="s">
        <v>397</v>
      </c>
      <c r="L13" s="445"/>
      <c r="M13" s="397" t="s">
        <v>1271</v>
      </c>
      <c r="N13" s="459"/>
    </row>
    <row r="14" spans="1:15" ht="48.75" customHeight="1">
      <c r="A14" s="389"/>
      <c r="B14" t="s">
        <v>1246</v>
      </c>
      <c r="C14" s="410" t="s">
        <v>1255</v>
      </c>
      <c r="D14" s="422"/>
      <c r="E14" s="434" t="s">
        <v>68</v>
      </c>
      <c r="F14" s="444"/>
      <c r="G14" s="397"/>
      <c r="H14" s="400"/>
      <c r="I14" s="445"/>
      <c r="J14" s="445"/>
      <c r="K14" s="400"/>
      <c r="L14" s="445"/>
      <c r="M14" s="397"/>
      <c r="N14" s="459"/>
    </row>
    <row r="15" spans="1:15" ht="96" customHeight="1">
      <c r="A15" s="390" t="s">
        <v>1238</v>
      </c>
      <c r="B15" s="401" t="s">
        <v>1247</v>
      </c>
      <c r="C15" s="414" t="s">
        <v>522</v>
      </c>
      <c r="D15" s="422"/>
      <c r="E15" s="435" t="s">
        <v>425</v>
      </c>
      <c r="F15" s="435"/>
      <c r="G15" s="397" t="s">
        <v>732</v>
      </c>
      <c r="H15" s="397"/>
      <c r="I15" s="445"/>
      <c r="J15" s="445"/>
      <c r="K15" s="397"/>
      <c r="L15" s="445"/>
      <c r="M15" s="445"/>
      <c r="N15" s="459"/>
    </row>
    <row r="16" spans="1:15" ht="96" customHeight="1">
      <c r="A16" s="391" t="s">
        <v>47</v>
      </c>
      <c r="B16" s="397" t="s">
        <v>1248</v>
      </c>
      <c r="C16" s="414" t="s">
        <v>1256</v>
      </c>
      <c r="D16" s="423"/>
      <c r="E16" s="436"/>
      <c r="F16" s="238"/>
      <c r="G16" s="2"/>
      <c r="H16" s="397"/>
      <c r="I16" s="445"/>
      <c r="J16" s="445"/>
      <c r="L16" s="445"/>
      <c r="M16" s="445"/>
      <c r="N16" s="459"/>
    </row>
    <row r="17" spans="1:14" ht="96" customHeight="1">
      <c r="A17" s="387" t="s">
        <v>1239</v>
      </c>
      <c r="B17" s="402" t="s">
        <v>1240</v>
      </c>
      <c r="C17" s="415" t="s">
        <v>1257</v>
      </c>
      <c r="D17" s="424" t="s">
        <v>1260</v>
      </c>
      <c r="E17" s="437"/>
      <c r="F17" s="445"/>
      <c r="G17" s="402"/>
      <c r="H17" s="397"/>
      <c r="I17" s="445"/>
      <c r="J17" s="445"/>
      <c r="K17" s="445"/>
      <c r="L17" s="445"/>
      <c r="M17" s="445"/>
      <c r="N17" s="459"/>
    </row>
    <row r="18" spans="1:14" ht="96" customHeight="1">
      <c r="A18" s="387" t="s">
        <v>900</v>
      </c>
      <c r="B18" s="402"/>
      <c r="C18" s="415"/>
      <c r="D18" s="424"/>
      <c r="E18" s="437"/>
      <c r="F18" s="402"/>
      <c r="G18" s="402"/>
      <c r="H18" s="397"/>
      <c r="I18" s="445"/>
      <c r="J18" s="445"/>
      <c r="K18" s="451" t="s">
        <v>384</v>
      </c>
      <c r="L18" s="454"/>
      <c r="M18" s="454"/>
      <c r="N18" s="460"/>
    </row>
    <row r="19" spans="1:14" ht="55.5" customHeight="1">
      <c r="A19" s="387" t="s">
        <v>1241</v>
      </c>
      <c r="B19" s="397" t="s">
        <v>1249</v>
      </c>
      <c r="C19" s="409"/>
      <c r="D19" s="425" t="s">
        <v>1261</v>
      </c>
      <c r="E19" s="438"/>
      <c r="F19" s="445"/>
      <c r="G19" s="397" t="s">
        <v>1267</v>
      </c>
      <c r="H19" s="397" t="s">
        <v>1190</v>
      </c>
      <c r="I19" s="445"/>
      <c r="J19" s="445"/>
      <c r="K19" s="452"/>
      <c r="L19" s="455"/>
      <c r="M19" s="455"/>
      <c r="N19" s="461"/>
    </row>
    <row r="20" spans="1:14" ht="55.5" customHeight="1">
      <c r="A20" s="392"/>
      <c r="B20" s="403"/>
      <c r="C20" s="416"/>
      <c r="D20" s="426"/>
      <c r="E20" s="439"/>
      <c r="F20" s="446"/>
      <c r="G20" s="403"/>
      <c r="H20" s="403"/>
      <c r="I20" s="446"/>
      <c r="J20" s="446"/>
      <c r="K20" s="453"/>
      <c r="L20" s="456"/>
      <c r="M20" s="456"/>
      <c r="N20" s="462"/>
    </row>
    <row r="21" spans="1:14" ht="123" customHeight="1">
      <c r="A21" s="393" t="s">
        <v>1242</v>
      </c>
      <c r="B21" s="404" t="s">
        <v>1250</v>
      </c>
      <c r="C21" s="417" t="s">
        <v>777</v>
      </c>
      <c r="D21" s="427" t="s">
        <v>1262</v>
      </c>
      <c r="E21" s="440" t="s">
        <v>942</v>
      </c>
      <c r="F21" s="447" t="s">
        <v>459</v>
      </c>
      <c r="G21" s="447" t="s">
        <v>1268</v>
      </c>
      <c r="H21" s="447" t="s">
        <v>952</v>
      </c>
      <c r="I21" s="447"/>
      <c r="J21" s="447"/>
      <c r="K21" s="447"/>
      <c r="L21" s="447"/>
      <c r="M21" s="447"/>
      <c r="N21" s="463"/>
    </row>
    <row r="22" spans="1:14" ht="14.25">
      <c r="B22" s="405"/>
      <c r="C22" s="405"/>
    </row>
    <row r="23" spans="1:14">
      <c r="C23" s="323"/>
    </row>
    <row r="40" spans="1:11">
      <c r="A40" s="394"/>
      <c r="B40" s="394"/>
      <c r="C40" s="394"/>
      <c r="D40" s="394"/>
      <c r="E40" s="394"/>
      <c r="F40" s="394"/>
      <c r="G40" s="394"/>
      <c r="H40" s="394"/>
      <c r="I40" s="394"/>
      <c r="J40" s="394"/>
      <c r="K40" s="394"/>
    </row>
    <row r="41" spans="1:11">
      <c r="A41" s="395"/>
      <c r="B41" s="406"/>
      <c r="C41" s="406"/>
      <c r="D41" s="406"/>
      <c r="E41" s="406"/>
      <c r="F41" s="406"/>
      <c r="G41" s="406"/>
      <c r="H41" s="406"/>
      <c r="I41" s="406"/>
      <c r="J41" s="406"/>
      <c r="K41" s="406"/>
    </row>
  </sheetData>
  <mergeCells count="46">
    <mergeCell ref="A5:B5"/>
    <mergeCell ref="C5:D5"/>
    <mergeCell ref="E5:N5"/>
    <mergeCell ref="A40:K40"/>
    <mergeCell ref="A41:K41"/>
    <mergeCell ref="A7:A8"/>
    <mergeCell ref="B7:B8"/>
    <mergeCell ref="D7:D8"/>
    <mergeCell ref="F7:F8"/>
    <mergeCell ref="G7:G8"/>
    <mergeCell ref="H7:H8"/>
    <mergeCell ref="I7:I8"/>
    <mergeCell ref="J7:J8"/>
    <mergeCell ref="K7:K8"/>
    <mergeCell ref="L7:L8"/>
    <mergeCell ref="M7:M8"/>
    <mergeCell ref="N7:N8"/>
    <mergeCell ref="A9:A12"/>
    <mergeCell ref="B9:B12"/>
    <mergeCell ref="D9:D12"/>
    <mergeCell ref="H9:H12"/>
    <mergeCell ref="I9:I12"/>
    <mergeCell ref="J9:J12"/>
    <mergeCell ref="K9:K12"/>
    <mergeCell ref="L9:L12"/>
    <mergeCell ref="M9:M12"/>
    <mergeCell ref="N9:N12"/>
    <mergeCell ref="A13:A14"/>
    <mergeCell ref="F13:F14"/>
    <mergeCell ref="G13:G14"/>
    <mergeCell ref="H13:H14"/>
    <mergeCell ref="I13:I14"/>
    <mergeCell ref="J13:J14"/>
    <mergeCell ref="K13:K14"/>
    <mergeCell ref="L13:L14"/>
    <mergeCell ref="M13:M14"/>
    <mergeCell ref="N13:N14"/>
    <mergeCell ref="K18:N20"/>
    <mergeCell ref="A19:A20"/>
    <mergeCell ref="B19:B20"/>
    <mergeCell ref="D19:D20"/>
    <mergeCell ref="F19:F20"/>
    <mergeCell ref="G19:G20"/>
    <mergeCell ref="H19:H20"/>
    <mergeCell ref="I19:I20"/>
    <mergeCell ref="J19:J20"/>
  </mergeCells>
  <phoneticPr fontId="1"/>
  <pageMargins left="0.70866141732283472" right="0.70866141732283472" top="0.74803149606299213" bottom="0.74803149606299213" header="0.31496062992125984" footer="0.31496062992125984"/>
  <pageSetup paperSize="8" scale="67" fitToWidth="1" fitToHeight="1" orientation="landscape" usePrinterDefaults="1"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D4F3B5"/>
  </sheetPr>
  <dimension ref="A1:Q22"/>
  <sheetViews>
    <sheetView showGridLines="0" view="pageBreakPreview" zoomScale="60" workbookViewId="0">
      <selection activeCell="I35" sqref="I35"/>
    </sheetView>
  </sheetViews>
  <sheetFormatPr defaultRowHeight="13.5"/>
  <cols>
    <col min="1" max="1" width="1.625" customWidth="1"/>
    <col min="2" max="2" width="17.375" customWidth="1"/>
    <col min="3" max="17" width="13.125" customWidth="1"/>
    <col min="18" max="18" width="1.375" customWidth="1"/>
  </cols>
  <sheetData>
    <row r="1" spans="1:17" ht="14.25">
      <c r="A1" s="318" t="s">
        <v>340</v>
      </c>
    </row>
    <row r="2" spans="1:17">
      <c r="C2" t="s">
        <v>943</v>
      </c>
    </row>
    <row r="3" spans="1:17" ht="6" customHeight="1"/>
    <row r="4" spans="1:17" ht="18" customHeight="1">
      <c r="C4" s="72" t="s">
        <v>787</v>
      </c>
      <c r="D4" s="72"/>
      <c r="E4" s="72"/>
      <c r="F4" s="72"/>
      <c r="G4" s="72"/>
      <c r="H4" s="72"/>
      <c r="I4" s="72"/>
      <c r="J4" s="72"/>
      <c r="K4" s="72"/>
      <c r="L4" s="72"/>
      <c r="M4" s="72"/>
      <c r="N4" s="72"/>
      <c r="O4" s="72"/>
      <c r="P4" s="72"/>
      <c r="Q4" s="72"/>
    </row>
    <row r="5" spans="1:17" ht="18" customHeight="1">
      <c r="C5" s="72" t="s">
        <v>772</v>
      </c>
      <c r="D5" s="72" t="s">
        <v>774</v>
      </c>
      <c r="E5" s="72" t="s">
        <v>418</v>
      </c>
      <c r="F5" s="72" t="s">
        <v>747</v>
      </c>
      <c r="G5" s="72" t="s">
        <v>775</v>
      </c>
      <c r="H5" s="72" t="s">
        <v>778</v>
      </c>
      <c r="I5" s="72" t="s">
        <v>779</v>
      </c>
      <c r="J5" s="72" t="s">
        <v>24</v>
      </c>
      <c r="K5" s="72" t="s">
        <v>780</v>
      </c>
      <c r="L5" s="72" t="s">
        <v>781</v>
      </c>
      <c r="M5" s="72" t="s">
        <v>783</v>
      </c>
      <c r="N5" s="72" t="s">
        <v>165</v>
      </c>
      <c r="O5" s="72" t="s">
        <v>784</v>
      </c>
      <c r="P5" s="72" t="s">
        <v>785</v>
      </c>
      <c r="Q5" s="2"/>
    </row>
    <row r="6" spans="1:17" ht="18" customHeight="1">
      <c r="B6" s="2" t="s">
        <v>1272</v>
      </c>
      <c r="C6" s="241" t="s">
        <v>1244</v>
      </c>
      <c r="D6" s="241" t="s">
        <v>1244</v>
      </c>
      <c r="E6" s="241"/>
      <c r="F6" s="241"/>
      <c r="G6" s="241"/>
      <c r="H6" s="241"/>
      <c r="I6" s="241"/>
      <c r="J6" s="241"/>
      <c r="K6" s="241"/>
      <c r="L6" s="241"/>
      <c r="M6" s="241"/>
      <c r="N6" s="241"/>
      <c r="O6" s="241"/>
      <c r="P6" s="241"/>
      <c r="Q6" s="2"/>
    </row>
    <row r="7" spans="1:17" ht="18" customHeight="1">
      <c r="B7" s="2" t="s">
        <v>710</v>
      </c>
      <c r="C7" s="72" t="s">
        <v>707</v>
      </c>
      <c r="D7" s="72" t="s">
        <v>707</v>
      </c>
      <c r="E7" s="72"/>
      <c r="F7" s="72"/>
      <c r="G7" s="72"/>
      <c r="H7" s="72"/>
      <c r="I7" s="72"/>
      <c r="J7" s="72"/>
      <c r="K7" s="72"/>
      <c r="L7" s="72"/>
      <c r="M7" s="72"/>
      <c r="N7" s="72"/>
      <c r="O7" s="72"/>
      <c r="P7" s="72"/>
      <c r="Q7" s="2"/>
    </row>
    <row r="8" spans="1:17" ht="18" customHeight="1">
      <c r="B8" s="2" t="s">
        <v>957</v>
      </c>
      <c r="C8" s="72" t="s">
        <v>707</v>
      </c>
      <c r="D8" s="72" t="s">
        <v>707</v>
      </c>
      <c r="E8" s="72"/>
      <c r="F8" s="72" t="s">
        <v>662</v>
      </c>
      <c r="G8" s="72"/>
      <c r="H8" s="72"/>
      <c r="I8" s="72"/>
      <c r="J8" s="72"/>
      <c r="K8" s="72"/>
      <c r="L8" s="72"/>
      <c r="M8" s="72"/>
      <c r="N8" s="72"/>
      <c r="O8" s="72"/>
      <c r="P8" s="72"/>
      <c r="Q8" s="2"/>
    </row>
    <row r="9" spans="1:17" ht="18" customHeight="1">
      <c r="B9" s="2" t="s">
        <v>1172</v>
      </c>
      <c r="C9" s="72" t="s">
        <v>767</v>
      </c>
      <c r="D9" s="72" t="s">
        <v>767</v>
      </c>
      <c r="E9" s="72" t="s">
        <v>662</v>
      </c>
      <c r="F9" s="72"/>
      <c r="G9" s="72"/>
      <c r="H9" s="72"/>
      <c r="I9" s="72"/>
      <c r="J9" s="72" t="s">
        <v>662</v>
      </c>
      <c r="K9" s="72"/>
      <c r="L9" s="72"/>
      <c r="M9" s="72"/>
      <c r="N9" s="72" t="s">
        <v>662</v>
      </c>
      <c r="O9" s="72"/>
      <c r="P9" s="72"/>
      <c r="Q9" s="2"/>
    </row>
    <row r="10" spans="1:17" ht="18" customHeight="1">
      <c r="B10" s="2" t="s">
        <v>687</v>
      </c>
      <c r="C10" s="72" t="s">
        <v>767</v>
      </c>
      <c r="D10" s="72" t="s">
        <v>767</v>
      </c>
      <c r="E10" s="72"/>
      <c r="F10" s="72"/>
      <c r="G10" s="72"/>
      <c r="H10" s="72" t="s">
        <v>662</v>
      </c>
      <c r="I10" s="72"/>
      <c r="J10" s="72"/>
      <c r="K10" s="72"/>
      <c r="L10" s="72"/>
      <c r="M10" s="72"/>
      <c r="N10" s="72"/>
      <c r="O10" s="72" t="s">
        <v>662</v>
      </c>
      <c r="P10" s="72"/>
      <c r="Q10" s="2"/>
    </row>
    <row r="11" spans="1:17" ht="18" customHeight="1">
      <c r="B11" s="2" t="s">
        <v>929</v>
      </c>
      <c r="C11" s="72" t="s">
        <v>767</v>
      </c>
      <c r="D11" s="72" t="s">
        <v>767</v>
      </c>
      <c r="E11" s="72"/>
      <c r="F11" s="72" t="s">
        <v>767</v>
      </c>
      <c r="G11" s="72" t="s">
        <v>662</v>
      </c>
      <c r="H11" s="72"/>
      <c r="I11" s="72" t="s">
        <v>662</v>
      </c>
      <c r="J11" s="72"/>
      <c r="K11" s="72"/>
      <c r="L11" s="72"/>
      <c r="M11" s="72"/>
      <c r="N11" s="72"/>
      <c r="O11" s="72"/>
      <c r="P11" s="72" t="s">
        <v>662</v>
      </c>
      <c r="Q11" s="2"/>
    </row>
    <row r="12" spans="1:17" ht="18" customHeight="1">
      <c r="B12" s="2" t="s">
        <v>1273</v>
      </c>
      <c r="C12" s="72" t="s">
        <v>767</v>
      </c>
      <c r="D12" s="72" t="s">
        <v>767</v>
      </c>
      <c r="E12" s="72" t="s">
        <v>767</v>
      </c>
      <c r="F12" s="72"/>
      <c r="G12" s="72"/>
      <c r="H12" s="72"/>
      <c r="I12" s="72"/>
      <c r="J12" s="72"/>
      <c r="K12" s="72" t="s">
        <v>662</v>
      </c>
      <c r="L12" s="72"/>
      <c r="M12" s="72"/>
      <c r="N12" s="72" t="s">
        <v>767</v>
      </c>
      <c r="O12" s="72"/>
      <c r="P12" s="72"/>
      <c r="Q12" s="2"/>
    </row>
    <row r="13" spans="1:17" ht="18" customHeight="1">
      <c r="B13" s="2" t="s">
        <v>1274</v>
      </c>
      <c r="C13" s="72" t="s">
        <v>767</v>
      </c>
      <c r="D13" s="72" t="s">
        <v>767</v>
      </c>
      <c r="E13" s="72"/>
      <c r="F13" s="72" t="s">
        <v>767</v>
      </c>
      <c r="G13" s="72"/>
      <c r="H13" s="72"/>
      <c r="I13" s="72"/>
      <c r="J13" s="72" t="s">
        <v>767</v>
      </c>
      <c r="K13" s="72"/>
      <c r="L13" s="72" t="s">
        <v>662</v>
      </c>
      <c r="M13" s="72"/>
      <c r="N13" s="72"/>
      <c r="O13" s="72" t="s">
        <v>767</v>
      </c>
      <c r="P13" s="72"/>
      <c r="Q13" s="2"/>
    </row>
    <row r="14" spans="1:17" ht="18" customHeight="1">
      <c r="B14" s="2" t="s">
        <v>1275</v>
      </c>
      <c r="C14" s="72" t="s">
        <v>767</v>
      </c>
      <c r="D14" s="72" t="s">
        <v>767</v>
      </c>
      <c r="E14" s="72"/>
      <c r="F14" s="72"/>
      <c r="G14" s="72"/>
      <c r="H14" s="72"/>
      <c r="I14" s="72"/>
      <c r="J14" s="72"/>
      <c r="K14" s="72"/>
      <c r="L14" s="72"/>
      <c r="M14" s="72" t="s">
        <v>662</v>
      </c>
      <c r="N14" s="72"/>
      <c r="O14" s="72"/>
      <c r="P14" s="72" t="s">
        <v>767</v>
      </c>
      <c r="Q14" s="2"/>
    </row>
    <row r="15" spans="1:17" ht="18" customHeight="1">
      <c r="B15" s="2" t="s">
        <v>1276</v>
      </c>
      <c r="C15" s="72"/>
      <c r="D15" s="72"/>
      <c r="E15" s="72" t="s">
        <v>767</v>
      </c>
      <c r="F15" s="72"/>
      <c r="G15" s="72"/>
      <c r="H15" s="72"/>
      <c r="I15" s="72"/>
      <c r="J15" s="72"/>
      <c r="K15" s="72" t="s">
        <v>767</v>
      </c>
      <c r="L15" s="72"/>
      <c r="M15" s="72"/>
      <c r="N15" s="72"/>
      <c r="O15" s="72"/>
      <c r="P15" s="72"/>
      <c r="Q15" s="2"/>
    </row>
    <row r="16" spans="1:17" ht="18" customHeight="1">
      <c r="B16" s="2" t="s">
        <v>1277</v>
      </c>
      <c r="C16" s="72"/>
      <c r="D16" s="72"/>
      <c r="E16" s="72"/>
      <c r="F16" s="72" t="s">
        <v>767</v>
      </c>
      <c r="G16" s="72"/>
      <c r="H16" s="72" t="s">
        <v>767</v>
      </c>
      <c r="I16" s="72"/>
      <c r="J16" s="72"/>
      <c r="K16" s="72"/>
      <c r="L16" s="72"/>
      <c r="M16" s="72"/>
      <c r="N16" s="72" t="s">
        <v>767</v>
      </c>
      <c r="O16" s="72" t="s">
        <v>767</v>
      </c>
      <c r="P16" s="72"/>
      <c r="Q16" s="2"/>
    </row>
    <row r="17" spans="2:17" ht="18" customHeight="1">
      <c r="B17" s="2" t="s">
        <v>146</v>
      </c>
      <c r="C17" s="72"/>
      <c r="D17" s="72"/>
      <c r="E17" s="72"/>
      <c r="F17" s="72"/>
      <c r="G17" s="72" t="s">
        <v>767</v>
      </c>
      <c r="H17" s="72"/>
      <c r="I17" s="72" t="s">
        <v>767</v>
      </c>
      <c r="J17" s="72"/>
      <c r="K17" s="72"/>
      <c r="L17" s="72"/>
      <c r="M17" s="72" t="s">
        <v>767</v>
      </c>
      <c r="N17" s="72"/>
      <c r="O17" s="72"/>
      <c r="P17" s="72" t="s">
        <v>767</v>
      </c>
      <c r="Q17" s="2"/>
    </row>
    <row r="18" spans="2:17" ht="18" customHeight="1">
      <c r="B18" s="2" t="s">
        <v>564</v>
      </c>
      <c r="C18" s="72"/>
      <c r="D18" s="72"/>
      <c r="E18" s="72" t="s">
        <v>767</v>
      </c>
      <c r="F18" s="72"/>
      <c r="G18" s="72"/>
      <c r="H18" s="72"/>
      <c r="I18" s="72"/>
      <c r="J18" s="72" t="s">
        <v>767</v>
      </c>
      <c r="K18" s="72" t="s">
        <v>767</v>
      </c>
      <c r="L18" s="72" t="s">
        <v>767</v>
      </c>
      <c r="M18" s="72"/>
      <c r="N18" s="72" t="s">
        <v>767</v>
      </c>
      <c r="O18" s="72"/>
      <c r="P18" s="72"/>
      <c r="Q18" s="2"/>
    </row>
    <row r="19" spans="2:17" ht="18" customHeight="1">
      <c r="B19" s="2" t="s">
        <v>1278</v>
      </c>
      <c r="C19" s="72"/>
      <c r="D19" s="72"/>
      <c r="E19" s="72"/>
      <c r="F19" s="72"/>
      <c r="G19" s="72"/>
      <c r="H19" s="72" t="s">
        <v>767</v>
      </c>
      <c r="I19" s="72"/>
      <c r="J19" s="72"/>
      <c r="K19" s="72"/>
      <c r="L19" s="72"/>
      <c r="M19" s="72"/>
      <c r="N19" s="72"/>
      <c r="O19" s="72" t="s">
        <v>767</v>
      </c>
      <c r="P19" s="72"/>
      <c r="Q19" s="2"/>
    </row>
    <row r="20" spans="2:17" ht="18" customHeight="1">
      <c r="B20" s="2" t="s">
        <v>1053</v>
      </c>
      <c r="C20" s="72"/>
      <c r="D20" s="72"/>
      <c r="E20" s="72"/>
      <c r="F20" s="72"/>
      <c r="G20" s="72"/>
      <c r="H20" s="72"/>
      <c r="I20" s="72" t="s">
        <v>767</v>
      </c>
      <c r="J20" s="72"/>
      <c r="K20" s="72"/>
      <c r="L20" s="72"/>
      <c r="M20" s="72" t="s">
        <v>767</v>
      </c>
      <c r="N20" s="72"/>
      <c r="O20" s="72"/>
      <c r="P20" s="72" t="s">
        <v>767</v>
      </c>
      <c r="Q20" s="2"/>
    </row>
    <row r="21" spans="2:17" ht="18" customHeight="1">
      <c r="B21" s="2" t="s">
        <v>769</v>
      </c>
      <c r="C21" s="72"/>
      <c r="D21" s="72"/>
      <c r="E21" s="72"/>
      <c r="F21" s="72"/>
      <c r="G21" s="72"/>
      <c r="H21" s="72"/>
      <c r="I21" s="72"/>
      <c r="J21" s="72" t="s">
        <v>767</v>
      </c>
      <c r="K21" s="72"/>
      <c r="L21" s="72" t="s">
        <v>767</v>
      </c>
      <c r="M21" s="72"/>
      <c r="N21" s="72"/>
      <c r="O21" s="72"/>
      <c r="P21" s="72"/>
      <c r="Q21" s="2"/>
    </row>
    <row r="22" spans="2:17" ht="16.5" customHeight="1">
      <c r="B22" s="2"/>
      <c r="C22" s="72"/>
      <c r="D22" s="72"/>
      <c r="E22" s="72"/>
      <c r="F22" s="72"/>
      <c r="G22" s="72"/>
      <c r="H22" s="72"/>
      <c r="I22" s="72"/>
      <c r="J22" s="72"/>
      <c r="K22" s="72"/>
      <c r="L22" s="72"/>
      <c r="M22" s="72"/>
      <c r="N22" s="72"/>
      <c r="O22" s="72"/>
      <c r="P22" s="72"/>
      <c r="Q22" s="2"/>
    </row>
    <row r="23" spans="2:17" ht="6" customHeight="1"/>
  </sheetData>
  <mergeCells count="1">
    <mergeCell ref="C4:Q4"/>
  </mergeCells>
  <phoneticPr fontId="1"/>
  <pageMargins left="0.7" right="0.7" top="0.75" bottom="0.75" header="0.3" footer="0.3"/>
  <pageSetup paperSize="8" scale="97" fitToWidth="1" fitToHeight="1" orientation="landscape" usePrinterDefaults="1" r:id="rId1"/>
  <colBreaks count="1" manualBreakCount="1">
    <brk id="1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D4F3B5"/>
  </sheetPr>
  <dimension ref="A1:H52"/>
  <sheetViews>
    <sheetView view="pageBreakPreview" zoomScale="60" workbookViewId="0">
      <selection activeCell="AC55" sqref="AC55"/>
    </sheetView>
  </sheetViews>
  <sheetFormatPr defaultRowHeight="13.5"/>
  <sheetData>
    <row r="1" spans="1:8" ht="14.25">
      <c r="A1" s="405" t="s">
        <v>761</v>
      </c>
      <c r="H1" t="s">
        <v>502</v>
      </c>
    </row>
    <row r="4" spans="1:8">
      <c r="A4" s="465"/>
    </row>
    <row r="5" spans="1:8">
      <c r="A5" s="466"/>
    </row>
    <row r="6" spans="1:8">
      <c r="A6" s="467"/>
    </row>
    <row r="7" spans="1:8">
      <c r="A7" s="468"/>
    </row>
    <row r="8" spans="1:8">
      <c r="A8" s="468"/>
    </row>
    <row r="9" spans="1:8">
      <c r="A9" s="468"/>
    </row>
    <row r="10" spans="1:8">
      <c r="A10" s="468"/>
    </row>
    <row r="11" spans="1:8">
      <c r="A11" s="468"/>
    </row>
    <row r="12" spans="1:8">
      <c r="A12" s="468"/>
    </row>
    <row r="13" spans="1:8">
      <c r="A13" s="469"/>
    </row>
    <row r="15" spans="1:8">
      <c r="A15" s="465"/>
    </row>
    <row r="16" spans="1:8">
      <c r="A16" s="465"/>
    </row>
    <row r="17" spans="1:1">
      <c r="A17" s="468"/>
    </row>
    <row r="18" spans="1:1">
      <c r="A18" s="468"/>
    </row>
    <row r="19" spans="1:1">
      <c r="A19" s="468"/>
    </row>
    <row r="20" spans="1:1">
      <c r="A20" s="468"/>
    </row>
    <row r="21" spans="1:1">
      <c r="A21" s="468"/>
    </row>
    <row r="22" spans="1:1">
      <c r="A22" s="468"/>
    </row>
    <row r="23" spans="1:1">
      <c r="A23" s="468"/>
    </row>
    <row r="24" spans="1:1">
      <c r="A24" s="468"/>
    </row>
    <row r="25" spans="1:1">
      <c r="A25" s="470"/>
    </row>
    <row r="26" spans="1:1">
      <c r="A26" s="470"/>
    </row>
    <row r="27" spans="1:1">
      <c r="A27" s="465"/>
    </row>
    <row r="28" spans="1:1">
      <c r="A28" s="465"/>
    </row>
    <row r="29" spans="1:1">
      <c r="A29" s="465"/>
    </row>
    <row r="30" spans="1:1">
      <c r="A30" s="465"/>
    </row>
    <row r="31" spans="1:1">
      <c r="A31" s="465"/>
    </row>
    <row r="32" spans="1:1">
      <c r="A32" s="465"/>
    </row>
    <row r="33" spans="1:1">
      <c r="A33" s="465"/>
    </row>
    <row r="34" spans="1:1">
      <c r="A34" s="465"/>
    </row>
    <row r="35" spans="1:1">
      <c r="A35" s="465"/>
    </row>
    <row r="36" spans="1:1">
      <c r="A36" s="465"/>
    </row>
    <row r="37" spans="1:1">
      <c r="A37" s="465"/>
    </row>
    <row r="38" spans="1:1">
      <c r="A38" s="465"/>
    </row>
    <row r="39" spans="1:1">
      <c r="A39" s="465"/>
    </row>
    <row r="40" spans="1:1">
      <c r="A40" s="465"/>
    </row>
    <row r="41" spans="1:1">
      <c r="A41" s="465"/>
    </row>
    <row r="42" spans="1:1">
      <c r="A42" s="465"/>
    </row>
    <row r="43" spans="1:1">
      <c r="A43" s="465"/>
    </row>
    <row r="44" spans="1:1">
      <c r="A44" s="465"/>
    </row>
    <row r="45" spans="1:1">
      <c r="A45" s="465"/>
    </row>
    <row r="46" spans="1:1">
      <c r="A46" s="465"/>
    </row>
    <row r="47" spans="1:1">
      <c r="A47" s="465"/>
    </row>
    <row r="48" spans="1:1">
      <c r="A48" s="465"/>
    </row>
    <row r="49" spans="1:1">
      <c r="A49" s="470"/>
    </row>
    <row r="52" spans="1:1">
      <c r="A52" t="s">
        <v>801</v>
      </c>
    </row>
  </sheetData>
  <phoneticPr fontId="1"/>
  <pageMargins left="0.7" right="0.7" top="0.75" bottom="0.75" header="0.3" footer="0.3"/>
  <pageSetup paperSize="9" fitToWidth="1" fitToHeight="1" orientation="portrait"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D4F3B5"/>
  </sheetPr>
  <dimension ref="A1:I13"/>
  <sheetViews>
    <sheetView view="pageBreakPreview" zoomScale="60" workbookViewId="0">
      <selection activeCell="AC55" sqref="AC55"/>
    </sheetView>
  </sheetViews>
  <sheetFormatPr defaultRowHeight="13.5"/>
  <cols>
    <col min="5" max="5" width="4.625" customWidth="1"/>
    <col min="9" max="9" width="21.75" customWidth="1"/>
    <col min="261" max="261" width="4.625" customWidth="1"/>
    <col min="265" max="265" width="21.75" customWidth="1"/>
    <col min="517" max="517" width="4.625" customWidth="1"/>
    <col min="521" max="521" width="21.75" customWidth="1"/>
    <col min="773" max="773" width="4.625" customWidth="1"/>
    <col min="777" max="777" width="21.75" customWidth="1"/>
    <col min="1029" max="1029" width="4.625" customWidth="1"/>
    <col min="1033" max="1033" width="21.75" customWidth="1"/>
    <col min="1285" max="1285" width="4.625" customWidth="1"/>
    <col min="1289" max="1289" width="21.75" customWidth="1"/>
    <col min="1541" max="1541" width="4.625" customWidth="1"/>
    <col min="1545" max="1545" width="21.75" customWidth="1"/>
    <col min="1797" max="1797" width="4.625" customWidth="1"/>
    <col min="1801" max="1801" width="21.75" customWidth="1"/>
    <col min="2053" max="2053" width="4.625" customWidth="1"/>
    <col min="2057" max="2057" width="21.75" customWidth="1"/>
    <col min="2309" max="2309" width="4.625" customWidth="1"/>
    <col min="2313" max="2313" width="21.75" customWidth="1"/>
    <col min="2565" max="2565" width="4.625" customWidth="1"/>
    <col min="2569" max="2569" width="21.75" customWidth="1"/>
    <col min="2821" max="2821" width="4.625" customWidth="1"/>
    <col min="2825" max="2825" width="21.75" customWidth="1"/>
    <col min="3077" max="3077" width="4.625" customWidth="1"/>
    <col min="3081" max="3081" width="21.75" customWidth="1"/>
    <col min="3333" max="3333" width="4.625" customWidth="1"/>
    <col min="3337" max="3337" width="21.75" customWidth="1"/>
    <col min="3589" max="3589" width="4.625" customWidth="1"/>
    <col min="3593" max="3593" width="21.75" customWidth="1"/>
    <col min="3845" max="3845" width="4.625" customWidth="1"/>
    <col min="3849" max="3849" width="21.75" customWidth="1"/>
    <col min="4101" max="4101" width="4.625" customWidth="1"/>
    <col min="4105" max="4105" width="21.75" customWidth="1"/>
    <col min="4357" max="4357" width="4.625" customWidth="1"/>
    <col min="4361" max="4361" width="21.75" customWidth="1"/>
    <col min="4613" max="4613" width="4.625" customWidth="1"/>
    <col min="4617" max="4617" width="21.75" customWidth="1"/>
    <col min="4869" max="4869" width="4.625" customWidth="1"/>
    <col min="4873" max="4873" width="21.75" customWidth="1"/>
    <col min="5125" max="5125" width="4.625" customWidth="1"/>
    <col min="5129" max="5129" width="21.75" customWidth="1"/>
    <col min="5381" max="5381" width="4.625" customWidth="1"/>
    <col min="5385" max="5385" width="21.75" customWidth="1"/>
    <col min="5637" max="5637" width="4.625" customWidth="1"/>
    <col min="5641" max="5641" width="21.75" customWidth="1"/>
    <col min="5893" max="5893" width="4.625" customWidth="1"/>
    <col min="5897" max="5897" width="21.75" customWidth="1"/>
    <col min="6149" max="6149" width="4.625" customWidth="1"/>
    <col min="6153" max="6153" width="21.75" customWidth="1"/>
    <col min="6405" max="6405" width="4.625" customWidth="1"/>
    <col min="6409" max="6409" width="21.75" customWidth="1"/>
    <col min="6661" max="6661" width="4.625" customWidth="1"/>
    <col min="6665" max="6665" width="21.75" customWidth="1"/>
    <col min="6917" max="6917" width="4.625" customWidth="1"/>
    <col min="6921" max="6921" width="21.75" customWidth="1"/>
    <col min="7173" max="7173" width="4.625" customWidth="1"/>
    <col min="7177" max="7177" width="21.75" customWidth="1"/>
    <col min="7429" max="7429" width="4.625" customWidth="1"/>
    <col min="7433" max="7433" width="21.75" customWidth="1"/>
    <col min="7685" max="7685" width="4.625" customWidth="1"/>
    <col min="7689" max="7689" width="21.75" customWidth="1"/>
    <col min="7941" max="7941" width="4.625" customWidth="1"/>
    <col min="7945" max="7945" width="21.75" customWidth="1"/>
    <col min="8197" max="8197" width="4.625" customWidth="1"/>
    <col min="8201" max="8201" width="21.75" customWidth="1"/>
    <col min="8453" max="8453" width="4.625" customWidth="1"/>
    <col min="8457" max="8457" width="21.75" customWidth="1"/>
    <col min="8709" max="8709" width="4.625" customWidth="1"/>
    <col min="8713" max="8713" width="21.75" customWidth="1"/>
    <col min="8965" max="8965" width="4.625" customWidth="1"/>
    <col min="8969" max="8969" width="21.75" customWidth="1"/>
    <col min="9221" max="9221" width="4.625" customWidth="1"/>
    <col min="9225" max="9225" width="21.75" customWidth="1"/>
    <col min="9477" max="9477" width="4.625" customWidth="1"/>
    <col min="9481" max="9481" width="21.75" customWidth="1"/>
    <col min="9733" max="9733" width="4.625" customWidth="1"/>
    <col min="9737" max="9737" width="21.75" customWidth="1"/>
    <col min="9989" max="9989" width="4.625" customWidth="1"/>
    <col min="9993" max="9993" width="21.75" customWidth="1"/>
    <col min="10245" max="10245" width="4.625" customWidth="1"/>
    <col min="10249" max="10249" width="21.75" customWidth="1"/>
    <col min="10501" max="10501" width="4.625" customWidth="1"/>
    <col min="10505" max="10505" width="21.75" customWidth="1"/>
    <col min="10757" max="10757" width="4.625" customWidth="1"/>
    <col min="10761" max="10761" width="21.75" customWidth="1"/>
    <col min="11013" max="11013" width="4.625" customWidth="1"/>
    <col min="11017" max="11017" width="21.75" customWidth="1"/>
    <col min="11269" max="11269" width="4.625" customWidth="1"/>
    <col min="11273" max="11273" width="21.75" customWidth="1"/>
    <col min="11525" max="11525" width="4.625" customWidth="1"/>
    <col min="11529" max="11529" width="21.75" customWidth="1"/>
    <col min="11781" max="11781" width="4.625" customWidth="1"/>
    <col min="11785" max="11785" width="21.75" customWidth="1"/>
    <col min="12037" max="12037" width="4.625" customWidth="1"/>
    <col min="12041" max="12041" width="21.75" customWidth="1"/>
    <col min="12293" max="12293" width="4.625" customWidth="1"/>
    <col min="12297" max="12297" width="21.75" customWidth="1"/>
    <col min="12549" max="12549" width="4.625" customWidth="1"/>
    <col min="12553" max="12553" width="21.75" customWidth="1"/>
    <col min="12805" max="12805" width="4.625" customWidth="1"/>
    <col min="12809" max="12809" width="21.75" customWidth="1"/>
    <col min="13061" max="13061" width="4.625" customWidth="1"/>
    <col min="13065" max="13065" width="21.75" customWidth="1"/>
    <col min="13317" max="13317" width="4.625" customWidth="1"/>
    <col min="13321" max="13321" width="21.75" customWidth="1"/>
    <col min="13573" max="13573" width="4.625" customWidth="1"/>
    <col min="13577" max="13577" width="21.75" customWidth="1"/>
    <col min="13829" max="13829" width="4.625" customWidth="1"/>
    <col min="13833" max="13833" width="21.75" customWidth="1"/>
    <col min="14085" max="14085" width="4.625" customWidth="1"/>
    <col min="14089" max="14089" width="21.75" customWidth="1"/>
    <col min="14341" max="14341" width="4.625" customWidth="1"/>
    <col min="14345" max="14345" width="21.75" customWidth="1"/>
    <col min="14597" max="14597" width="4.625" customWidth="1"/>
    <col min="14601" max="14601" width="21.75" customWidth="1"/>
    <col min="14853" max="14853" width="4.625" customWidth="1"/>
    <col min="14857" max="14857" width="21.75" customWidth="1"/>
    <col min="15109" max="15109" width="4.625" customWidth="1"/>
    <col min="15113" max="15113" width="21.75" customWidth="1"/>
    <col min="15365" max="15365" width="4.625" customWidth="1"/>
    <col min="15369" max="15369" width="21.75" customWidth="1"/>
    <col min="15621" max="15621" width="4.625" customWidth="1"/>
    <col min="15625" max="15625" width="21.75" customWidth="1"/>
    <col min="15877" max="15877" width="4.625" customWidth="1"/>
    <col min="15881" max="15881" width="21.75" customWidth="1"/>
    <col min="16133" max="16133" width="4.625" customWidth="1"/>
    <col min="16137" max="16137" width="21.75" customWidth="1"/>
  </cols>
  <sheetData>
    <row r="1" spans="1:9">
      <c r="A1" t="s">
        <v>895</v>
      </c>
      <c r="I1" s="376" t="s">
        <v>827</v>
      </c>
    </row>
    <row r="3" spans="1:9" ht="30.75" customHeight="1">
      <c r="A3" s="370" t="s">
        <v>995</v>
      </c>
      <c r="B3" s="370"/>
      <c r="C3" s="370"/>
      <c r="D3" s="370"/>
      <c r="E3" s="370"/>
      <c r="F3" s="370"/>
      <c r="G3" s="370"/>
      <c r="H3" s="370"/>
      <c r="I3" s="370"/>
    </row>
    <row r="4" spans="1:9" ht="30.75" customHeight="1">
      <c r="A4" s="471" t="s">
        <v>851</v>
      </c>
      <c r="B4" s="471"/>
      <c r="C4" s="471"/>
      <c r="D4" s="471"/>
      <c r="E4" s="471"/>
      <c r="F4" s="6" t="s">
        <v>311</v>
      </c>
      <c r="G4" s="6"/>
      <c r="H4" s="6"/>
      <c r="I4" s="6"/>
    </row>
    <row r="5" spans="1:9" ht="30.75" customHeight="1">
      <c r="A5" s="471" t="s">
        <v>356</v>
      </c>
      <c r="B5" s="471"/>
      <c r="C5" s="471"/>
      <c r="D5" s="471"/>
      <c r="E5" s="471"/>
      <c r="F5" s="6" t="s">
        <v>996</v>
      </c>
      <c r="G5" s="6"/>
      <c r="H5" s="6"/>
      <c r="I5" s="6"/>
    </row>
    <row r="6" spans="1:9" ht="30.75" customHeight="1">
      <c r="A6" s="472" t="s">
        <v>206</v>
      </c>
      <c r="B6" s="472"/>
      <c r="C6" s="472"/>
      <c r="D6" s="472"/>
      <c r="E6" s="472"/>
      <c r="F6" s="6" t="s">
        <v>997</v>
      </c>
      <c r="G6" s="6"/>
      <c r="H6" s="6"/>
      <c r="I6" s="6"/>
    </row>
    <row r="7" spans="1:9" ht="30.75" customHeight="1">
      <c r="A7" s="472" t="s">
        <v>998</v>
      </c>
      <c r="B7" s="472"/>
      <c r="C7" s="472"/>
      <c r="D7" s="472"/>
      <c r="E7" s="472"/>
      <c r="F7" s="381" t="s">
        <v>82</v>
      </c>
      <c r="G7" s="382"/>
      <c r="H7" s="382"/>
      <c r="I7" s="383"/>
    </row>
    <row r="8" spans="1:9" ht="30.75" customHeight="1">
      <c r="A8" s="472" t="s">
        <v>999</v>
      </c>
      <c r="B8" s="472"/>
      <c r="C8" s="472"/>
      <c r="D8" s="472"/>
      <c r="E8" s="472"/>
      <c r="F8" s="6" t="s">
        <v>530</v>
      </c>
      <c r="G8" s="6"/>
      <c r="H8" s="6"/>
      <c r="I8" s="6"/>
    </row>
    <row r="9" spans="1:9" ht="30.75" customHeight="1">
      <c r="A9" s="472" t="s">
        <v>1000</v>
      </c>
      <c r="B9" s="472"/>
      <c r="C9" s="472"/>
      <c r="D9" s="472"/>
      <c r="E9" s="472"/>
      <c r="F9" s="6" t="s">
        <v>904</v>
      </c>
      <c r="G9" s="6"/>
      <c r="H9" s="6"/>
      <c r="I9" s="6"/>
    </row>
    <row r="10" spans="1:9" ht="30.75" customHeight="1">
      <c r="A10" s="472" t="s">
        <v>1001</v>
      </c>
      <c r="B10" s="472"/>
      <c r="C10" s="472"/>
      <c r="D10" s="472"/>
      <c r="E10" s="472"/>
      <c r="F10" s="6" t="s">
        <v>908</v>
      </c>
      <c r="G10" s="6"/>
      <c r="H10" s="6"/>
      <c r="I10" s="6"/>
    </row>
    <row r="11" spans="1:9" ht="30.75" customHeight="1">
      <c r="A11" s="472"/>
      <c r="B11" s="472"/>
      <c r="C11" s="472"/>
      <c r="D11" s="472"/>
      <c r="E11" s="472"/>
      <c r="F11" s="72"/>
      <c r="G11" s="72"/>
      <c r="H11" s="72"/>
      <c r="I11" s="72"/>
    </row>
    <row r="12" spans="1:9">
      <c r="A12" s="13"/>
      <c r="B12" s="13"/>
      <c r="C12" s="13"/>
      <c r="D12" s="13"/>
      <c r="E12" s="13"/>
      <c r="F12" s="16"/>
      <c r="G12" s="16"/>
      <c r="H12" s="16"/>
      <c r="I12" s="16"/>
    </row>
    <row r="13" spans="1:9">
      <c r="A13" s="473" t="s">
        <v>488</v>
      </c>
    </row>
  </sheetData>
  <mergeCells count="19">
    <mergeCell ref="A3:I3"/>
    <mergeCell ref="A4:E4"/>
    <mergeCell ref="F4:I4"/>
    <mergeCell ref="A5:E5"/>
    <mergeCell ref="F5:I5"/>
    <mergeCell ref="A6:E6"/>
    <mergeCell ref="F6:I6"/>
    <mergeCell ref="A7:E7"/>
    <mergeCell ref="F7:I7"/>
    <mergeCell ref="A8:E8"/>
    <mergeCell ref="F8:I8"/>
    <mergeCell ref="A9:E9"/>
    <mergeCell ref="F9:I9"/>
    <mergeCell ref="A10:E10"/>
    <mergeCell ref="F10:I10"/>
    <mergeCell ref="A11:E11"/>
    <mergeCell ref="F11:I11"/>
    <mergeCell ref="A12:E12"/>
    <mergeCell ref="F12:I12"/>
  </mergeCells>
  <phoneticPr fontId="1"/>
  <pageMargins left="0.7" right="0.7" top="0.75" bottom="0.75" header="0.3" footer="0.3"/>
  <pageSetup paperSize="9"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D4F3B5"/>
  </sheetPr>
  <dimension ref="A1:L16"/>
  <sheetViews>
    <sheetView view="pageBreakPreview" zoomScale="60" workbookViewId="0">
      <selection activeCell="E28" sqref="E28"/>
    </sheetView>
  </sheetViews>
  <sheetFormatPr defaultRowHeight="13.5"/>
  <cols>
    <col min="1" max="1" width="12.75" customWidth="1"/>
    <col min="2" max="2" width="11.625" customWidth="1"/>
    <col min="3" max="3" width="35.75" customWidth="1"/>
    <col min="4" max="5" width="13.5" customWidth="1"/>
    <col min="6" max="6" width="22" customWidth="1"/>
    <col min="7" max="7" width="13" customWidth="1"/>
    <col min="8" max="8" width="8" customWidth="1"/>
    <col min="257" max="257" width="12.75" customWidth="1"/>
    <col min="258" max="258" width="11.625" customWidth="1"/>
    <col min="259" max="259" width="35.75" customWidth="1"/>
    <col min="260" max="261" width="13.5" customWidth="1"/>
    <col min="262" max="262" width="22" customWidth="1"/>
    <col min="263" max="263" width="13" customWidth="1"/>
    <col min="264" max="264" width="8" customWidth="1"/>
    <col min="513" max="513" width="12.75" customWidth="1"/>
    <col min="514" max="514" width="11.625" customWidth="1"/>
    <col min="515" max="515" width="35.75" customWidth="1"/>
    <col min="516" max="517" width="13.5" customWidth="1"/>
    <col min="518" max="518" width="22" customWidth="1"/>
    <col min="519" max="519" width="13" customWidth="1"/>
    <col min="520" max="520" width="8" customWidth="1"/>
    <col min="769" max="769" width="12.75" customWidth="1"/>
    <col min="770" max="770" width="11.625" customWidth="1"/>
    <col min="771" max="771" width="35.75" customWidth="1"/>
    <col min="772" max="773" width="13.5" customWidth="1"/>
    <col min="774" max="774" width="22" customWidth="1"/>
    <col min="775" max="775" width="13" customWidth="1"/>
    <col min="776" max="776" width="8" customWidth="1"/>
    <col min="1025" max="1025" width="12.75" customWidth="1"/>
    <col min="1026" max="1026" width="11.625" customWidth="1"/>
    <col min="1027" max="1027" width="35.75" customWidth="1"/>
    <col min="1028" max="1029" width="13.5" customWidth="1"/>
    <col min="1030" max="1030" width="22" customWidth="1"/>
    <col min="1031" max="1031" width="13" customWidth="1"/>
    <col min="1032" max="1032" width="8" customWidth="1"/>
    <col min="1281" max="1281" width="12.75" customWidth="1"/>
    <col min="1282" max="1282" width="11.625" customWidth="1"/>
    <col min="1283" max="1283" width="35.75" customWidth="1"/>
    <col min="1284" max="1285" width="13.5" customWidth="1"/>
    <col min="1286" max="1286" width="22" customWidth="1"/>
    <col min="1287" max="1287" width="13" customWidth="1"/>
    <col min="1288" max="1288" width="8" customWidth="1"/>
    <col min="1537" max="1537" width="12.75" customWidth="1"/>
    <col min="1538" max="1538" width="11.625" customWidth="1"/>
    <col min="1539" max="1539" width="35.75" customWidth="1"/>
    <col min="1540" max="1541" width="13.5" customWidth="1"/>
    <col min="1542" max="1542" width="22" customWidth="1"/>
    <col min="1543" max="1543" width="13" customWidth="1"/>
    <col min="1544" max="1544" width="8" customWidth="1"/>
    <col min="1793" max="1793" width="12.75" customWidth="1"/>
    <col min="1794" max="1794" width="11.625" customWidth="1"/>
    <col min="1795" max="1795" width="35.75" customWidth="1"/>
    <col min="1796" max="1797" width="13.5" customWidth="1"/>
    <col min="1798" max="1798" width="22" customWidth="1"/>
    <col min="1799" max="1799" width="13" customWidth="1"/>
    <col min="1800" max="1800" width="8" customWidth="1"/>
    <col min="2049" max="2049" width="12.75" customWidth="1"/>
    <col min="2050" max="2050" width="11.625" customWidth="1"/>
    <col min="2051" max="2051" width="35.75" customWidth="1"/>
    <col min="2052" max="2053" width="13.5" customWidth="1"/>
    <col min="2054" max="2054" width="22" customWidth="1"/>
    <col min="2055" max="2055" width="13" customWidth="1"/>
    <col min="2056" max="2056" width="8" customWidth="1"/>
    <col min="2305" max="2305" width="12.75" customWidth="1"/>
    <col min="2306" max="2306" width="11.625" customWidth="1"/>
    <col min="2307" max="2307" width="35.75" customWidth="1"/>
    <col min="2308" max="2309" width="13.5" customWidth="1"/>
    <col min="2310" max="2310" width="22" customWidth="1"/>
    <col min="2311" max="2311" width="13" customWidth="1"/>
    <col min="2312" max="2312" width="8" customWidth="1"/>
    <col min="2561" max="2561" width="12.75" customWidth="1"/>
    <col min="2562" max="2562" width="11.625" customWidth="1"/>
    <col min="2563" max="2563" width="35.75" customWidth="1"/>
    <col min="2564" max="2565" width="13.5" customWidth="1"/>
    <col min="2566" max="2566" width="22" customWidth="1"/>
    <col min="2567" max="2567" width="13" customWidth="1"/>
    <col min="2568" max="2568" width="8" customWidth="1"/>
    <col min="2817" max="2817" width="12.75" customWidth="1"/>
    <col min="2818" max="2818" width="11.625" customWidth="1"/>
    <col min="2819" max="2819" width="35.75" customWidth="1"/>
    <col min="2820" max="2821" width="13.5" customWidth="1"/>
    <col min="2822" max="2822" width="22" customWidth="1"/>
    <col min="2823" max="2823" width="13" customWidth="1"/>
    <col min="2824" max="2824" width="8" customWidth="1"/>
    <col min="3073" max="3073" width="12.75" customWidth="1"/>
    <col min="3074" max="3074" width="11.625" customWidth="1"/>
    <col min="3075" max="3075" width="35.75" customWidth="1"/>
    <col min="3076" max="3077" width="13.5" customWidth="1"/>
    <col min="3078" max="3078" width="22" customWidth="1"/>
    <col min="3079" max="3079" width="13" customWidth="1"/>
    <col min="3080" max="3080" width="8" customWidth="1"/>
    <col min="3329" max="3329" width="12.75" customWidth="1"/>
    <col min="3330" max="3330" width="11.625" customWidth="1"/>
    <col min="3331" max="3331" width="35.75" customWidth="1"/>
    <col min="3332" max="3333" width="13.5" customWidth="1"/>
    <col min="3334" max="3334" width="22" customWidth="1"/>
    <col min="3335" max="3335" width="13" customWidth="1"/>
    <col min="3336" max="3336" width="8" customWidth="1"/>
    <col min="3585" max="3585" width="12.75" customWidth="1"/>
    <col min="3586" max="3586" width="11.625" customWidth="1"/>
    <col min="3587" max="3587" width="35.75" customWidth="1"/>
    <col min="3588" max="3589" width="13.5" customWidth="1"/>
    <col min="3590" max="3590" width="22" customWidth="1"/>
    <col min="3591" max="3591" width="13" customWidth="1"/>
    <col min="3592" max="3592" width="8" customWidth="1"/>
    <col min="3841" max="3841" width="12.75" customWidth="1"/>
    <col min="3842" max="3842" width="11.625" customWidth="1"/>
    <col min="3843" max="3843" width="35.75" customWidth="1"/>
    <col min="3844" max="3845" width="13.5" customWidth="1"/>
    <col min="3846" max="3846" width="22" customWidth="1"/>
    <col min="3847" max="3847" width="13" customWidth="1"/>
    <col min="3848" max="3848" width="8" customWidth="1"/>
    <col min="4097" max="4097" width="12.75" customWidth="1"/>
    <col min="4098" max="4098" width="11.625" customWidth="1"/>
    <col min="4099" max="4099" width="35.75" customWidth="1"/>
    <col min="4100" max="4101" width="13.5" customWidth="1"/>
    <col min="4102" max="4102" width="22" customWidth="1"/>
    <col min="4103" max="4103" width="13" customWidth="1"/>
    <col min="4104" max="4104" width="8" customWidth="1"/>
    <col min="4353" max="4353" width="12.75" customWidth="1"/>
    <col min="4354" max="4354" width="11.625" customWidth="1"/>
    <col min="4355" max="4355" width="35.75" customWidth="1"/>
    <col min="4356" max="4357" width="13.5" customWidth="1"/>
    <col min="4358" max="4358" width="22" customWidth="1"/>
    <col min="4359" max="4359" width="13" customWidth="1"/>
    <col min="4360" max="4360" width="8" customWidth="1"/>
    <col min="4609" max="4609" width="12.75" customWidth="1"/>
    <col min="4610" max="4610" width="11.625" customWidth="1"/>
    <col min="4611" max="4611" width="35.75" customWidth="1"/>
    <col min="4612" max="4613" width="13.5" customWidth="1"/>
    <col min="4614" max="4614" width="22" customWidth="1"/>
    <col min="4615" max="4615" width="13" customWidth="1"/>
    <col min="4616" max="4616" width="8" customWidth="1"/>
    <col min="4865" max="4865" width="12.75" customWidth="1"/>
    <col min="4866" max="4866" width="11.625" customWidth="1"/>
    <col min="4867" max="4867" width="35.75" customWidth="1"/>
    <col min="4868" max="4869" width="13.5" customWidth="1"/>
    <col min="4870" max="4870" width="22" customWidth="1"/>
    <col min="4871" max="4871" width="13" customWidth="1"/>
    <col min="4872" max="4872" width="8" customWidth="1"/>
    <col min="5121" max="5121" width="12.75" customWidth="1"/>
    <col min="5122" max="5122" width="11.625" customWidth="1"/>
    <col min="5123" max="5123" width="35.75" customWidth="1"/>
    <col min="5124" max="5125" width="13.5" customWidth="1"/>
    <col min="5126" max="5126" width="22" customWidth="1"/>
    <col min="5127" max="5127" width="13" customWidth="1"/>
    <col min="5128" max="5128" width="8" customWidth="1"/>
    <col min="5377" max="5377" width="12.75" customWidth="1"/>
    <col min="5378" max="5378" width="11.625" customWidth="1"/>
    <col min="5379" max="5379" width="35.75" customWidth="1"/>
    <col min="5380" max="5381" width="13.5" customWidth="1"/>
    <col min="5382" max="5382" width="22" customWidth="1"/>
    <col min="5383" max="5383" width="13" customWidth="1"/>
    <col min="5384" max="5384" width="8" customWidth="1"/>
    <col min="5633" max="5633" width="12.75" customWidth="1"/>
    <col min="5634" max="5634" width="11.625" customWidth="1"/>
    <col min="5635" max="5635" width="35.75" customWidth="1"/>
    <col min="5636" max="5637" width="13.5" customWidth="1"/>
    <col min="5638" max="5638" width="22" customWidth="1"/>
    <col min="5639" max="5639" width="13" customWidth="1"/>
    <col min="5640" max="5640" width="8" customWidth="1"/>
    <col min="5889" max="5889" width="12.75" customWidth="1"/>
    <col min="5890" max="5890" width="11.625" customWidth="1"/>
    <col min="5891" max="5891" width="35.75" customWidth="1"/>
    <col min="5892" max="5893" width="13.5" customWidth="1"/>
    <col min="5894" max="5894" width="22" customWidth="1"/>
    <col min="5895" max="5895" width="13" customWidth="1"/>
    <col min="5896" max="5896" width="8" customWidth="1"/>
    <col min="6145" max="6145" width="12.75" customWidth="1"/>
    <col min="6146" max="6146" width="11.625" customWidth="1"/>
    <col min="6147" max="6147" width="35.75" customWidth="1"/>
    <col min="6148" max="6149" width="13.5" customWidth="1"/>
    <col min="6150" max="6150" width="22" customWidth="1"/>
    <col min="6151" max="6151" width="13" customWidth="1"/>
    <col min="6152" max="6152" width="8" customWidth="1"/>
    <col min="6401" max="6401" width="12.75" customWidth="1"/>
    <col min="6402" max="6402" width="11.625" customWidth="1"/>
    <col min="6403" max="6403" width="35.75" customWidth="1"/>
    <col min="6404" max="6405" width="13.5" customWidth="1"/>
    <col min="6406" max="6406" width="22" customWidth="1"/>
    <col min="6407" max="6407" width="13" customWidth="1"/>
    <col min="6408" max="6408" width="8" customWidth="1"/>
    <col min="6657" max="6657" width="12.75" customWidth="1"/>
    <col min="6658" max="6658" width="11.625" customWidth="1"/>
    <col min="6659" max="6659" width="35.75" customWidth="1"/>
    <col min="6660" max="6661" width="13.5" customWidth="1"/>
    <col min="6662" max="6662" width="22" customWidth="1"/>
    <col min="6663" max="6663" width="13" customWidth="1"/>
    <col min="6664" max="6664" width="8" customWidth="1"/>
    <col min="6913" max="6913" width="12.75" customWidth="1"/>
    <col min="6914" max="6914" width="11.625" customWidth="1"/>
    <col min="6915" max="6915" width="35.75" customWidth="1"/>
    <col min="6916" max="6917" width="13.5" customWidth="1"/>
    <col min="6918" max="6918" width="22" customWidth="1"/>
    <col min="6919" max="6919" width="13" customWidth="1"/>
    <col min="6920" max="6920" width="8" customWidth="1"/>
    <col min="7169" max="7169" width="12.75" customWidth="1"/>
    <col min="7170" max="7170" width="11.625" customWidth="1"/>
    <col min="7171" max="7171" width="35.75" customWidth="1"/>
    <col min="7172" max="7173" width="13.5" customWidth="1"/>
    <col min="7174" max="7174" width="22" customWidth="1"/>
    <col min="7175" max="7175" width="13" customWidth="1"/>
    <col min="7176" max="7176" width="8" customWidth="1"/>
    <col min="7425" max="7425" width="12.75" customWidth="1"/>
    <col min="7426" max="7426" width="11.625" customWidth="1"/>
    <col min="7427" max="7427" width="35.75" customWidth="1"/>
    <col min="7428" max="7429" width="13.5" customWidth="1"/>
    <col min="7430" max="7430" width="22" customWidth="1"/>
    <col min="7431" max="7431" width="13" customWidth="1"/>
    <col min="7432" max="7432" width="8" customWidth="1"/>
    <col min="7681" max="7681" width="12.75" customWidth="1"/>
    <col min="7682" max="7682" width="11.625" customWidth="1"/>
    <col min="7683" max="7683" width="35.75" customWidth="1"/>
    <col min="7684" max="7685" width="13.5" customWidth="1"/>
    <col min="7686" max="7686" width="22" customWidth="1"/>
    <col min="7687" max="7687" width="13" customWidth="1"/>
    <col min="7688" max="7688" width="8" customWidth="1"/>
    <col min="7937" max="7937" width="12.75" customWidth="1"/>
    <col min="7938" max="7938" width="11.625" customWidth="1"/>
    <col min="7939" max="7939" width="35.75" customWidth="1"/>
    <col min="7940" max="7941" width="13.5" customWidth="1"/>
    <col min="7942" max="7942" width="22" customWidth="1"/>
    <col min="7943" max="7943" width="13" customWidth="1"/>
    <col min="7944" max="7944" width="8" customWidth="1"/>
    <col min="8193" max="8193" width="12.75" customWidth="1"/>
    <col min="8194" max="8194" width="11.625" customWidth="1"/>
    <col min="8195" max="8195" width="35.75" customWidth="1"/>
    <col min="8196" max="8197" width="13.5" customWidth="1"/>
    <col min="8198" max="8198" width="22" customWidth="1"/>
    <col min="8199" max="8199" width="13" customWidth="1"/>
    <col min="8200" max="8200" width="8" customWidth="1"/>
    <col min="8449" max="8449" width="12.75" customWidth="1"/>
    <col min="8450" max="8450" width="11.625" customWidth="1"/>
    <col min="8451" max="8451" width="35.75" customWidth="1"/>
    <col min="8452" max="8453" width="13.5" customWidth="1"/>
    <col min="8454" max="8454" width="22" customWidth="1"/>
    <col min="8455" max="8455" width="13" customWidth="1"/>
    <col min="8456" max="8456" width="8" customWidth="1"/>
    <col min="8705" max="8705" width="12.75" customWidth="1"/>
    <col min="8706" max="8706" width="11.625" customWidth="1"/>
    <col min="8707" max="8707" width="35.75" customWidth="1"/>
    <col min="8708" max="8709" width="13.5" customWidth="1"/>
    <col min="8710" max="8710" width="22" customWidth="1"/>
    <col min="8711" max="8711" width="13" customWidth="1"/>
    <col min="8712" max="8712" width="8" customWidth="1"/>
    <col min="8961" max="8961" width="12.75" customWidth="1"/>
    <col min="8962" max="8962" width="11.625" customWidth="1"/>
    <col min="8963" max="8963" width="35.75" customWidth="1"/>
    <col min="8964" max="8965" width="13.5" customWidth="1"/>
    <col min="8966" max="8966" width="22" customWidth="1"/>
    <col min="8967" max="8967" width="13" customWidth="1"/>
    <col min="8968" max="8968" width="8" customWidth="1"/>
    <col min="9217" max="9217" width="12.75" customWidth="1"/>
    <col min="9218" max="9218" width="11.625" customWidth="1"/>
    <col min="9219" max="9219" width="35.75" customWidth="1"/>
    <col min="9220" max="9221" width="13.5" customWidth="1"/>
    <col min="9222" max="9222" width="22" customWidth="1"/>
    <col min="9223" max="9223" width="13" customWidth="1"/>
    <col min="9224" max="9224" width="8" customWidth="1"/>
    <col min="9473" max="9473" width="12.75" customWidth="1"/>
    <col min="9474" max="9474" width="11.625" customWidth="1"/>
    <col min="9475" max="9475" width="35.75" customWidth="1"/>
    <col min="9476" max="9477" width="13.5" customWidth="1"/>
    <col min="9478" max="9478" width="22" customWidth="1"/>
    <col min="9479" max="9479" width="13" customWidth="1"/>
    <col min="9480" max="9480" width="8" customWidth="1"/>
    <col min="9729" max="9729" width="12.75" customWidth="1"/>
    <col min="9730" max="9730" width="11.625" customWidth="1"/>
    <col min="9731" max="9731" width="35.75" customWidth="1"/>
    <col min="9732" max="9733" width="13.5" customWidth="1"/>
    <col min="9734" max="9734" width="22" customWidth="1"/>
    <col min="9735" max="9735" width="13" customWidth="1"/>
    <col min="9736" max="9736" width="8" customWidth="1"/>
    <col min="9985" max="9985" width="12.75" customWidth="1"/>
    <col min="9986" max="9986" width="11.625" customWidth="1"/>
    <col min="9987" max="9987" width="35.75" customWidth="1"/>
    <col min="9988" max="9989" width="13.5" customWidth="1"/>
    <col min="9990" max="9990" width="22" customWidth="1"/>
    <col min="9991" max="9991" width="13" customWidth="1"/>
    <col min="9992" max="9992" width="8" customWidth="1"/>
    <col min="10241" max="10241" width="12.75" customWidth="1"/>
    <col min="10242" max="10242" width="11.625" customWidth="1"/>
    <col min="10243" max="10243" width="35.75" customWidth="1"/>
    <col min="10244" max="10245" width="13.5" customWidth="1"/>
    <col min="10246" max="10246" width="22" customWidth="1"/>
    <col min="10247" max="10247" width="13" customWidth="1"/>
    <col min="10248" max="10248" width="8" customWidth="1"/>
    <col min="10497" max="10497" width="12.75" customWidth="1"/>
    <col min="10498" max="10498" width="11.625" customWidth="1"/>
    <col min="10499" max="10499" width="35.75" customWidth="1"/>
    <col min="10500" max="10501" width="13.5" customWidth="1"/>
    <col min="10502" max="10502" width="22" customWidth="1"/>
    <col min="10503" max="10503" width="13" customWidth="1"/>
    <col min="10504" max="10504" width="8" customWidth="1"/>
    <col min="10753" max="10753" width="12.75" customWidth="1"/>
    <col min="10754" max="10754" width="11.625" customWidth="1"/>
    <col min="10755" max="10755" width="35.75" customWidth="1"/>
    <col min="10756" max="10757" width="13.5" customWidth="1"/>
    <col min="10758" max="10758" width="22" customWidth="1"/>
    <col min="10759" max="10759" width="13" customWidth="1"/>
    <col min="10760" max="10760" width="8" customWidth="1"/>
    <col min="11009" max="11009" width="12.75" customWidth="1"/>
    <col min="11010" max="11010" width="11.625" customWidth="1"/>
    <col min="11011" max="11011" width="35.75" customWidth="1"/>
    <col min="11012" max="11013" width="13.5" customWidth="1"/>
    <col min="11014" max="11014" width="22" customWidth="1"/>
    <col min="11015" max="11015" width="13" customWidth="1"/>
    <col min="11016" max="11016" width="8" customWidth="1"/>
    <col min="11265" max="11265" width="12.75" customWidth="1"/>
    <col min="11266" max="11266" width="11.625" customWidth="1"/>
    <col min="11267" max="11267" width="35.75" customWidth="1"/>
    <col min="11268" max="11269" width="13.5" customWidth="1"/>
    <col min="11270" max="11270" width="22" customWidth="1"/>
    <col min="11271" max="11271" width="13" customWidth="1"/>
    <col min="11272" max="11272" width="8" customWidth="1"/>
    <col min="11521" max="11521" width="12.75" customWidth="1"/>
    <col min="11522" max="11522" width="11.625" customWidth="1"/>
    <col min="11523" max="11523" width="35.75" customWidth="1"/>
    <col min="11524" max="11525" width="13.5" customWidth="1"/>
    <col min="11526" max="11526" width="22" customWidth="1"/>
    <col min="11527" max="11527" width="13" customWidth="1"/>
    <col min="11528" max="11528" width="8" customWidth="1"/>
    <col min="11777" max="11777" width="12.75" customWidth="1"/>
    <col min="11778" max="11778" width="11.625" customWidth="1"/>
    <col min="11779" max="11779" width="35.75" customWidth="1"/>
    <col min="11780" max="11781" width="13.5" customWidth="1"/>
    <col min="11782" max="11782" width="22" customWidth="1"/>
    <col min="11783" max="11783" width="13" customWidth="1"/>
    <col min="11784" max="11784" width="8" customWidth="1"/>
    <col min="12033" max="12033" width="12.75" customWidth="1"/>
    <col min="12034" max="12034" width="11.625" customWidth="1"/>
    <col min="12035" max="12035" width="35.75" customWidth="1"/>
    <col min="12036" max="12037" width="13.5" customWidth="1"/>
    <col min="12038" max="12038" width="22" customWidth="1"/>
    <col min="12039" max="12039" width="13" customWidth="1"/>
    <col min="12040" max="12040" width="8" customWidth="1"/>
    <col min="12289" max="12289" width="12.75" customWidth="1"/>
    <col min="12290" max="12290" width="11.625" customWidth="1"/>
    <col min="12291" max="12291" width="35.75" customWidth="1"/>
    <col min="12292" max="12293" width="13.5" customWidth="1"/>
    <col min="12294" max="12294" width="22" customWidth="1"/>
    <col min="12295" max="12295" width="13" customWidth="1"/>
    <col min="12296" max="12296" width="8" customWidth="1"/>
    <col min="12545" max="12545" width="12.75" customWidth="1"/>
    <col min="12546" max="12546" width="11.625" customWidth="1"/>
    <col min="12547" max="12547" width="35.75" customWidth="1"/>
    <col min="12548" max="12549" width="13.5" customWidth="1"/>
    <col min="12550" max="12550" width="22" customWidth="1"/>
    <col min="12551" max="12551" width="13" customWidth="1"/>
    <col min="12552" max="12552" width="8" customWidth="1"/>
    <col min="12801" max="12801" width="12.75" customWidth="1"/>
    <col min="12802" max="12802" width="11.625" customWidth="1"/>
    <col min="12803" max="12803" width="35.75" customWidth="1"/>
    <col min="12804" max="12805" width="13.5" customWidth="1"/>
    <col min="12806" max="12806" width="22" customWidth="1"/>
    <col min="12807" max="12807" width="13" customWidth="1"/>
    <col min="12808" max="12808" width="8" customWidth="1"/>
    <col min="13057" max="13057" width="12.75" customWidth="1"/>
    <col min="13058" max="13058" width="11.625" customWidth="1"/>
    <col min="13059" max="13059" width="35.75" customWidth="1"/>
    <col min="13060" max="13061" width="13.5" customWidth="1"/>
    <col min="13062" max="13062" width="22" customWidth="1"/>
    <col min="13063" max="13063" width="13" customWidth="1"/>
    <col min="13064" max="13064" width="8" customWidth="1"/>
    <col min="13313" max="13313" width="12.75" customWidth="1"/>
    <col min="13314" max="13314" width="11.625" customWidth="1"/>
    <col min="13315" max="13315" width="35.75" customWidth="1"/>
    <col min="13316" max="13317" width="13.5" customWidth="1"/>
    <col min="13318" max="13318" width="22" customWidth="1"/>
    <col min="13319" max="13319" width="13" customWidth="1"/>
    <col min="13320" max="13320" width="8" customWidth="1"/>
    <col min="13569" max="13569" width="12.75" customWidth="1"/>
    <col min="13570" max="13570" width="11.625" customWidth="1"/>
    <col min="13571" max="13571" width="35.75" customWidth="1"/>
    <col min="13572" max="13573" width="13.5" customWidth="1"/>
    <col min="13574" max="13574" width="22" customWidth="1"/>
    <col min="13575" max="13575" width="13" customWidth="1"/>
    <col min="13576" max="13576" width="8" customWidth="1"/>
    <col min="13825" max="13825" width="12.75" customWidth="1"/>
    <col min="13826" max="13826" width="11.625" customWidth="1"/>
    <col min="13827" max="13827" width="35.75" customWidth="1"/>
    <col min="13828" max="13829" width="13.5" customWidth="1"/>
    <col min="13830" max="13830" width="22" customWidth="1"/>
    <col min="13831" max="13831" width="13" customWidth="1"/>
    <col min="13832" max="13832" width="8" customWidth="1"/>
    <col min="14081" max="14081" width="12.75" customWidth="1"/>
    <col min="14082" max="14082" width="11.625" customWidth="1"/>
    <col min="14083" max="14083" width="35.75" customWidth="1"/>
    <col min="14084" max="14085" width="13.5" customWidth="1"/>
    <col min="14086" max="14086" width="22" customWidth="1"/>
    <col min="14087" max="14087" width="13" customWidth="1"/>
    <col min="14088" max="14088" width="8" customWidth="1"/>
    <col min="14337" max="14337" width="12.75" customWidth="1"/>
    <col min="14338" max="14338" width="11.625" customWidth="1"/>
    <col min="14339" max="14339" width="35.75" customWidth="1"/>
    <col min="14340" max="14341" width="13.5" customWidth="1"/>
    <col min="14342" max="14342" width="22" customWidth="1"/>
    <col min="14343" max="14343" width="13" customWidth="1"/>
    <col min="14344" max="14344" width="8" customWidth="1"/>
    <col min="14593" max="14593" width="12.75" customWidth="1"/>
    <col min="14594" max="14594" width="11.625" customWidth="1"/>
    <col min="14595" max="14595" width="35.75" customWidth="1"/>
    <col min="14596" max="14597" width="13.5" customWidth="1"/>
    <col min="14598" max="14598" width="22" customWidth="1"/>
    <col min="14599" max="14599" width="13" customWidth="1"/>
    <col min="14600" max="14600" width="8" customWidth="1"/>
    <col min="14849" max="14849" width="12.75" customWidth="1"/>
    <col min="14850" max="14850" width="11.625" customWidth="1"/>
    <col min="14851" max="14851" width="35.75" customWidth="1"/>
    <col min="14852" max="14853" width="13.5" customWidth="1"/>
    <col min="14854" max="14854" width="22" customWidth="1"/>
    <col min="14855" max="14855" width="13" customWidth="1"/>
    <col min="14856" max="14856" width="8" customWidth="1"/>
    <col min="15105" max="15105" width="12.75" customWidth="1"/>
    <col min="15106" max="15106" width="11.625" customWidth="1"/>
    <col min="15107" max="15107" width="35.75" customWidth="1"/>
    <col min="15108" max="15109" width="13.5" customWidth="1"/>
    <col min="15110" max="15110" width="22" customWidth="1"/>
    <col min="15111" max="15111" width="13" customWidth="1"/>
    <col min="15112" max="15112" width="8" customWidth="1"/>
    <col min="15361" max="15361" width="12.75" customWidth="1"/>
    <col min="15362" max="15362" width="11.625" customWidth="1"/>
    <col min="15363" max="15363" width="35.75" customWidth="1"/>
    <col min="15364" max="15365" width="13.5" customWidth="1"/>
    <col min="15366" max="15366" width="22" customWidth="1"/>
    <col min="15367" max="15367" width="13" customWidth="1"/>
    <col min="15368" max="15368" width="8" customWidth="1"/>
    <col min="15617" max="15617" width="12.75" customWidth="1"/>
    <col min="15618" max="15618" width="11.625" customWidth="1"/>
    <col min="15619" max="15619" width="35.75" customWidth="1"/>
    <col min="15620" max="15621" width="13.5" customWidth="1"/>
    <col min="15622" max="15622" width="22" customWidth="1"/>
    <col min="15623" max="15623" width="13" customWidth="1"/>
    <col min="15624" max="15624" width="8" customWidth="1"/>
    <col min="15873" max="15873" width="12.75" customWidth="1"/>
    <col min="15874" max="15874" width="11.625" customWidth="1"/>
    <col min="15875" max="15875" width="35.75" customWidth="1"/>
    <col min="15876" max="15877" width="13.5" customWidth="1"/>
    <col min="15878" max="15878" width="22" customWidth="1"/>
    <col min="15879" max="15879" width="13" customWidth="1"/>
    <col min="15880" max="15880" width="8" customWidth="1"/>
    <col min="16129" max="16129" width="12.75" customWidth="1"/>
    <col min="16130" max="16130" width="11.625" customWidth="1"/>
    <col min="16131" max="16131" width="35.75" customWidth="1"/>
    <col min="16132" max="16133" width="13.5" customWidth="1"/>
    <col min="16134" max="16134" width="22" customWidth="1"/>
    <col min="16135" max="16135" width="13" customWidth="1"/>
    <col min="16136" max="16136" width="8" customWidth="1"/>
  </cols>
  <sheetData>
    <row r="1" spans="1:12">
      <c r="A1" t="s">
        <v>990</v>
      </c>
      <c r="F1" s="376" t="s">
        <v>992</v>
      </c>
    </row>
    <row r="3" spans="1:12" ht="27">
      <c r="A3" s="370" t="s">
        <v>0</v>
      </c>
      <c r="B3" s="371" t="s">
        <v>19</v>
      </c>
      <c r="C3" s="370" t="s">
        <v>804</v>
      </c>
      <c r="D3" s="371" t="s">
        <v>547</v>
      </c>
      <c r="E3" s="371" t="s">
        <v>471</v>
      </c>
      <c r="F3" s="475" t="s">
        <v>654</v>
      </c>
      <c r="G3" s="475" t="s">
        <v>693</v>
      </c>
      <c r="H3" s="371" t="s">
        <v>805</v>
      </c>
      <c r="I3" s="16"/>
      <c r="J3" s="16"/>
      <c r="K3" s="16"/>
      <c r="L3" s="16"/>
    </row>
    <row r="4" spans="1:12" ht="28.5" customHeight="1">
      <c r="A4" s="2"/>
      <c r="B4" s="2"/>
      <c r="C4" s="2"/>
      <c r="D4" s="2"/>
      <c r="E4" s="2"/>
      <c r="F4" s="2"/>
      <c r="G4" s="2"/>
      <c r="H4" s="2"/>
    </row>
    <row r="5" spans="1:12" ht="28.5" customHeight="1">
      <c r="A5" s="2"/>
      <c r="B5" s="2"/>
      <c r="C5" s="2"/>
      <c r="D5" s="2"/>
      <c r="E5" s="2"/>
      <c r="F5" s="2"/>
      <c r="G5" s="2"/>
      <c r="H5" s="2"/>
    </row>
    <row r="6" spans="1:12" ht="28.5" customHeight="1">
      <c r="A6" s="2"/>
      <c r="B6" s="2"/>
      <c r="C6" s="2"/>
      <c r="D6" s="2"/>
      <c r="E6" s="2"/>
      <c r="F6" s="2"/>
      <c r="G6" s="2"/>
      <c r="H6" s="2"/>
    </row>
    <row r="7" spans="1:12" ht="28.5" customHeight="1">
      <c r="A7" s="2"/>
      <c r="B7" s="2"/>
      <c r="C7" s="2"/>
      <c r="D7" s="2"/>
      <c r="E7" s="2"/>
      <c r="F7" s="2"/>
      <c r="G7" s="2"/>
      <c r="H7" s="2"/>
    </row>
    <row r="8" spans="1:12" ht="28.5" customHeight="1">
      <c r="A8" s="2"/>
      <c r="B8" s="2"/>
      <c r="C8" s="2"/>
      <c r="D8" s="2"/>
      <c r="E8" s="2"/>
      <c r="F8" s="2"/>
      <c r="G8" s="2"/>
      <c r="H8" s="2"/>
    </row>
    <row r="9" spans="1:12" ht="28.5" customHeight="1">
      <c r="A9" s="2"/>
      <c r="B9" s="2"/>
      <c r="C9" s="2"/>
      <c r="D9" s="2"/>
      <c r="E9" s="2"/>
      <c r="F9" s="2"/>
      <c r="G9" s="2"/>
      <c r="H9" s="2"/>
    </row>
    <row r="10" spans="1:12" ht="28.5" customHeight="1">
      <c r="A10" s="2"/>
      <c r="B10" s="2"/>
      <c r="C10" s="2"/>
      <c r="D10" s="2"/>
      <c r="E10" s="2"/>
      <c r="F10" s="2"/>
      <c r="G10" s="2"/>
      <c r="H10" s="2"/>
    </row>
    <row r="11" spans="1:12" ht="28.5" customHeight="1">
      <c r="A11" s="2"/>
      <c r="B11" s="2"/>
      <c r="C11" s="2"/>
      <c r="D11" s="2"/>
      <c r="E11" s="2"/>
      <c r="F11" s="2"/>
      <c r="G11" s="2"/>
      <c r="H11" s="2"/>
    </row>
    <row r="12" spans="1:12" ht="28.5" customHeight="1">
      <c r="A12" s="2"/>
      <c r="B12" s="2"/>
      <c r="C12" s="2"/>
      <c r="D12" s="2"/>
      <c r="E12" s="2"/>
      <c r="F12" s="2"/>
      <c r="G12" s="2"/>
      <c r="H12" s="2"/>
    </row>
    <row r="13" spans="1:12" ht="28.5" customHeight="1">
      <c r="A13" s="2"/>
      <c r="B13" s="2"/>
      <c r="C13" s="2"/>
      <c r="D13" s="2"/>
      <c r="E13" s="2"/>
      <c r="F13" s="2"/>
      <c r="G13" s="2"/>
      <c r="H13" s="2"/>
    </row>
    <row r="14" spans="1:12" ht="28.5" customHeight="1">
      <c r="A14" s="2"/>
      <c r="B14" s="2"/>
      <c r="C14" s="2"/>
      <c r="D14" s="2"/>
      <c r="E14" s="2"/>
      <c r="F14" s="2"/>
      <c r="G14" s="2"/>
      <c r="H14" s="2"/>
    </row>
    <row r="15" spans="1:12" ht="28.5" customHeight="1">
      <c r="A15" s="2"/>
      <c r="B15" s="2"/>
      <c r="C15" s="2"/>
      <c r="D15" s="2"/>
      <c r="E15" s="2"/>
      <c r="F15" s="2"/>
      <c r="G15" s="2"/>
      <c r="H15" s="2"/>
    </row>
    <row r="16" spans="1:12" ht="39" customHeight="1">
      <c r="D16" s="474" t="s">
        <v>994</v>
      </c>
      <c r="E16" s="474"/>
      <c r="F16" s="474"/>
      <c r="G16" s="474"/>
      <c r="H16" s="474"/>
    </row>
  </sheetData>
  <mergeCells count="1">
    <mergeCell ref="D16:H16"/>
  </mergeCells>
  <phoneticPr fontId="1"/>
  <pageMargins left="0.7" right="0.7" top="0.75" bottom="0.75" header="0.3" footer="0.3"/>
  <pageSetup paperSize="9" fitToWidth="1" fitToHeight="1" orientation="landscape"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D4F3B5"/>
  </sheetPr>
  <dimension ref="A1:D12"/>
  <sheetViews>
    <sheetView view="pageBreakPreview" zoomScale="60" workbookViewId="0">
      <selection activeCell="AC55" sqref="AC55"/>
    </sheetView>
  </sheetViews>
  <sheetFormatPr defaultRowHeight="13.5"/>
  <cols>
    <col min="1" max="1" width="36.25" customWidth="1"/>
    <col min="2" max="2" width="53.125" customWidth="1"/>
    <col min="257" max="257" width="36.25" customWidth="1"/>
    <col min="258" max="258" width="53.125" customWidth="1"/>
    <col min="513" max="513" width="36.25" customWidth="1"/>
    <col min="514" max="514" width="53.125" customWidth="1"/>
    <col min="769" max="769" width="36.25" customWidth="1"/>
    <col min="770" max="770" width="53.125" customWidth="1"/>
    <col min="1025" max="1025" width="36.25" customWidth="1"/>
    <col min="1026" max="1026" width="53.125" customWidth="1"/>
    <col min="1281" max="1281" width="36.25" customWidth="1"/>
    <col min="1282" max="1282" width="53.125" customWidth="1"/>
    <col min="1537" max="1537" width="36.25" customWidth="1"/>
    <col min="1538" max="1538" width="53.125" customWidth="1"/>
    <col min="1793" max="1793" width="36.25" customWidth="1"/>
    <col min="1794" max="1794" width="53.125" customWidth="1"/>
    <col min="2049" max="2049" width="36.25" customWidth="1"/>
    <col min="2050" max="2050" width="53.125" customWidth="1"/>
    <col min="2305" max="2305" width="36.25" customWidth="1"/>
    <col min="2306" max="2306" width="53.125" customWidth="1"/>
    <col min="2561" max="2561" width="36.25" customWidth="1"/>
    <col min="2562" max="2562" width="53.125" customWidth="1"/>
    <col min="2817" max="2817" width="36.25" customWidth="1"/>
    <col min="2818" max="2818" width="53.125" customWidth="1"/>
    <col min="3073" max="3073" width="36.25" customWidth="1"/>
    <col min="3074" max="3074" width="53.125" customWidth="1"/>
    <col min="3329" max="3329" width="36.25" customWidth="1"/>
    <col min="3330" max="3330" width="53.125" customWidth="1"/>
    <col min="3585" max="3585" width="36.25" customWidth="1"/>
    <col min="3586" max="3586" width="53.125" customWidth="1"/>
    <col min="3841" max="3841" width="36.25" customWidth="1"/>
    <col min="3842" max="3842" width="53.125" customWidth="1"/>
    <col min="4097" max="4097" width="36.25" customWidth="1"/>
    <col min="4098" max="4098" width="53.125" customWidth="1"/>
    <col min="4353" max="4353" width="36.25" customWidth="1"/>
    <col min="4354" max="4354" width="53.125" customWidth="1"/>
    <col min="4609" max="4609" width="36.25" customWidth="1"/>
    <col min="4610" max="4610" width="53.125" customWidth="1"/>
    <col min="4865" max="4865" width="36.25" customWidth="1"/>
    <col min="4866" max="4866" width="53.125" customWidth="1"/>
    <col min="5121" max="5121" width="36.25" customWidth="1"/>
    <col min="5122" max="5122" width="53.125" customWidth="1"/>
    <col min="5377" max="5377" width="36.25" customWidth="1"/>
    <col min="5378" max="5378" width="53.125" customWidth="1"/>
    <col min="5633" max="5633" width="36.25" customWidth="1"/>
    <col min="5634" max="5634" width="53.125" customWidth="1"/>
    <col min="5889" max="5889" width="36.25" customWidth="1"/>
    <col min="5890" max="5890" width="53.125" customWidth="1"/>
    <col min="6145" max="6145" width="36.25" customWidth="1"/>
    <col min="6146" max="6146" width="53.125" customWidth="1"/>
    <col min="6401" max="6401" width="36.25" customWidth="1"/>
    <col min="6402" max="6402" width="53.125" customWidth="1"/>
    <col min="6657" max="6657" width="36.25" customWidth="1"/>
    <col min="6658" max="6658" width="53.125" customWidth="1"/>
    <col min="6913" max="6913" width="36.25" customWidth="1"/>
    <col min="6914" max="6914" width="53.125" customWidth="1"/>
    <col min="7169" max="7169" width="36.25" customWidth="1"/>
    <col min="7170" max="7170" width="53.125" customWidth="1"/>
    <col min="7425" max="7425" width="36.25" customWidth="1"/>
    <col min="7426" max="7426" width="53.125" customWidth="1"/>
    <col min="7681" max="7681" width="36.25" customWidth="1"/>
    <col min="7682" max="7682" width="53.125" customWidth="1"/>
    <col min="7937" max="7937" width="36.25" customWidth="1"/>
    <col min="7938" max="7938" width="53.125" customWidth="1"/>
    <col min="8193" max="8193" width="36.25" customWidth="1"/>
    <col min="8194" max="8194" width="53.125" customWidth="1"/>
    <col min="8449" max="8449" width="36.25" customWidth="1"/>
    <col min="8450" max="8450" width="53.125" customWidth="1"/>
    <col min="8705" max="8705" width="36.25" customWidth="1"/>
    <col min="8706" max="8706" width="53.125" customWidth="1"/>
    <col min="8961" max="8961" width="36.25" customWidth="1"/>
    <col min="8962" max="8962" width="53.125" customWidth="1"/>
    <col min="9217" max="9217" width="36.25" customWidth="1"/>
    <col min="9218" max="9218" width="53.125" customWidth="1"/>
    <col min="9473" max="9473" width="36.25" customWidth="1"/>
    <col min="9474" max="9474" width="53.125" customWidth="1"/>
    <col min="9729" max="9729" width="36.25" customWidth="1"/>
    <col min="9730" max="9730" width="53.125" customWidth="1"/>
    <col min="9985" max="9985" width="36.25" customWidth="1"/>
    <col min="9986" max="9986" width="53.125" customWidth="1"/>
    <col min="10241" max="10241" width="36.25" customWidth="1"/>
    <col min="10242" max="10242" width="53.125" customWidth="1"/>
    <col min="10497" max="10497" width="36.25" customWidth="1"/>
    <col min="10498" max="10498" width="53.125" customWidth="1"/>
    <col min="10753" max="10753" width="36.25" customWidth="1"/>
    <col min="10754" max="10754" width="53.125" customWidth="1"/>
    <col min="11009" max="11009" width="36.25" customWidth="1"/>
    <col min="11010" max="11010" width="53.125" customWidth="1"/>
    <col min="11265" max="11265" width="36.25" customWidth="1"/>
    <col min="11266" max="11266" width="53.125" customWidth="1"/>
    <col min="11521" max="11521" width="36.25" customWidth="1"/>
    <col min="11522" max="11522" width="53.125" customWidth="1"/>
    <col min="11777" max="11777" width="36.25" customWidth="1"/>
    <col min="11778" max="11778" width="53.125" customWidth="1"/>
    <col min="12033" max="12033" width="36.25" customWidth="1"/>
    <col min="12034" max="12034" width="53.125" customWidth="1"/>
    <col min="12289" max="12289" width="36.25" customWidth="1"/>
    <col min="12290" max="12290" width="53.125" customWidth="1"/>
    <col min="12545" max="12545" width="36.25" customWidth="1"/>
    <col min="12546" max="12546" width="53.125" customWidth="1"/>
    <col min="12801" max="12801" width="36.25" customWidth="1"/>
    <col min="12802" max="12802" width="53.125" customWidth="1"/>
    <col min="13057" max="13057" width="36.25" customWidth="1"/>
    <col min="13058" max="13058" width="53.125" customWidth="1"/>
    <col min="13313" max="13313" width="36.25" customWidth="1"/>
    <col min="13314" max="13314" width="53.125" customWidth="1"/>
    <col min="13569" max="13569" width="36.25" customWidth="1"/>
    <col min="13570" max="13570" width="53.125" customWidth="1"/>
    <col min="13825" max="13825" width="36.25" customWidth="1"/>
    <col min="13826" max="13826" width="53.125" customWidth="1"/>
    <col min="14081" max="14081" width="36.25" customWidth="1"/>
    <col min="14082" max="14082" width="53.125" customWidth="1"/>
    <col min="14337" max="14337" width="36.25" customWidth="1"/>
    <col min="14338" max="14338" width="53.125" customWidth="1"/>
    <col min="14593" max="14593" width="36.25" customWidth="1"/>
    <col min="14594" max="14594" width="53.125" customWidth="1"/>
    <col min="14849" max="14849" width="36.25" customWidth="1"/>
    <col min="14850" max="14850" width="53.125" customWidth="1"/>
    <col min="15105" max="15105" width="36.25" customWidth="1"/>
    <col min="15106" max="15106" width="53.125" customWidth="1"/>
    <col min="15361" max="15361" width="36.25" customWidth="1"/>
    <col min="15362" max="15362" width="53.125" customWidth="1"/>
    <col min="15617" max="15617" width="36.25" customWidth="1"/>
    <col min="15618" max="15618" width="53.125" customWidth="1"/>
    <col min="15873" max="15873" width="36.25" customWidth="1"/>
    <col min="15874" max="15874" width="53.125" customWidth="1"/>
    <col min="16129" max="16129" width="36.25" customWidth="1"/>
    <col min="16130" max="16130" width="53.125" customWidth="1"/>
  </cols>
  <sheetData>
    <row r="1" spans="1:4" ht="18.75" customHeight="1">
      <c r="A1" t="s">
        <v>565</v>
      </c>
      <c r="B1" s="376" t="s">
        <v>949</v>
      </c>
    </row>
    <row r="3" spans="1:4" ht="27">
      <c r="A3" s="476" t="s">
        <v>986</v>
      </c>
      <c r="B3" s="2"/>
    </row>
    <row r="4" spans="1:4" ht="32.25" customHeight="1">
      <c r="A4" s="476" t="s">
        <v>141</v>
      </c>
      <c r="B4" s="2"/>
    </row>
    <row r="5" spans="1:4" ht="32.25" customHeight="1">
      <c r="A5" s="476" t="s">
        <v>919</v>
      </c>
      <c r="B5" s="2"/>
    </row>
    <row r="6" spans="1:4" ht="32.25" customHeight="1">
      <c r="A6" s="476" t="s">
        <v>987</v>
      </c>
      <c r="B6" s="2"/>
      <c r="D6" s="479"/>
    </row>
    <row r="7" spans="1:4" ht="32.25" customHeight="1">
      <c r="A7" s="476" t="s">
        <v>988</v>
      </c>
      <c r="B7" s="2"/>
    </row>
    <row r="8" spans="1:4" ht="32.25" customHeight="1">
      <c r="A8" s="476" t="s">
        <v>987</v>
      </c>
      <c r="B8" s="2"/>
    </row>
    <row r="9" spans="1:4" ht="32.25" customHeight="1">
      <c r="A9" s="476" t="s">
        <v>573</v>
      </c>
      <c r="B9" s="2"/>
    </row>
    <row r="10" spans="1:4" ht="32.25" customHeight="1">
      <c r="A10" s="476" t="s">
        <v>447</v>
      </c>
      <c r="B10" s="2"/>
    </row>
    <row r="11" spans="1:4" ht="11.25" customHeight="1">
      <c r="A11" s="477"/>
    </row>
    <row r="12" spans="1:4" ht="41.25" customHeight="1">
      <c r="A12" s="478" t="s">
        <v>922</v>
      </c>
      <c r="B12" s="478"/>
    </row>
  </sheetData>
  <mergeCells count="1">
    <mergeCell ref="A12:B12"/>
  </mergeCells>
  <phoneticPr fontId="1"/>
  <pageMargins left="0.7" right="0.7" top="0.75" bottom="0.75" header="0.3" footer="0.3"/>
  <pageSetup paperSize="9" fitToWidth="1" fitToHeight="1" orientation="portrait"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rgb="FFD4F3B5"/>
  </sheetPr>
  <dimension ref="A1:J12"/>
  <sheetViews>
    <sheetView view="pageBreakPreview" zoomScale="60" workbookViewId="0">
      <selection activeCell="AC55" sqref="AC55"/>
    </sheetView>
  </sheetViews>
  <sheetFormatPr defaultRowHeight="13.5"/>
  <cols>
    <col min="1" max="1" width="33.875" customWidth="1"/>
    <col min="2" max="2" width="54.625" customWidth="1"/>
    <col min="4" max="4" width="6.75" customWidth="1"/>
    <col min="257" max="257" width="33.875" customWidth="1"/>
    <col min="258" max="258" width="54.625" customWidth="1"/>
    <col min="260" max="260" width="6.75" customWidth="1"/>
    <col min="513" max="513" width="33.875" customWidth="1"/>
    <col min="514" max="514" width="54.625" customWidth="1"/>
    <col min="516" max="516" width="6.75" customWidth="1"/>
    <col min="769" max="769" width="33.875" customWidth="1"/>
    <col min="770" max="770" width="54.625" customWidth="1"/>
    <col min="772" max="772" width="6.75" customWidth="1"/>
    <col min="1025" max="1025" width="33.875" customWidth="1"/>
    <col min="1026" max="1026" width="54.625" customWidth="1"/>
    <col min="1028" max="1028" width="6.75" customWidth="1"/>
    <col min="1281" max="1281" width="33.875" customWidth="1"/>
    <col min="1282" max="1282" width="54.625" customWidth="1"/>
    <col min="1284" max="1284" width="6.75" customWidth="1"/>
    <col min="1537" max="1537" width="33.875" customWidth="1"/>
    <col min="1538" max="1538" width="54.625" customWidth="1"/>
    <col min="1540" max="1540" width="6.75" customWidth="1"/>
    <col min="1793" max="1793" width="33.875" customWidth="1"/>
    <col min="1794" max="1794" width="54.625" customWidth="1"/>
    <col min="1796" max="1796" width="6.75" customWidth="1"/>
    <col min="2049" max="2049" width="33.875" customWidth="1"/>
    <col min="2050" max="2050" width="54.625" customWidth="1"/>
    <col min="2052" max="2052" width="6.75" customWidth="1"/>
    <col min="2305" max="2305" width="33.875" customWidth="1"/>
    <col min="2306" max="2306" width="54.625" customWidth="1"/>
    <col min="2308" max="2308" width="6.75" customWidth="1"/>
    <col min="2561" max="2561" width="33.875" customWidth="1"/>
    <col min="2562" max="2562" width="54.625" customWidth="1"/>
    <col min="2564" max="2564" width="6.75" customWidth="1"/>
    <col min="2817" max="2817" width="33.875" customWidth="1"/>
    <col min="2818" max="2818" width="54.625" customWidth="1"/>
    <col min="2820" max="2820" width="6.75" customWidth="1"/>
    <col min="3073" max="3073" width="33.875" customWidth="1"/>
    <col min="3074" max="3074" width="54.625" customWidth="1"/>
    <col min="3076" max="3076" width="6.75" customWidth="1"/>
    <col min="3329" max="3329" width="33.875" customWidth="1"/>
    <col min="3330" max="3330" width="54.625" customWidth="1"/>
    <col min="3332" max="3332" width="6.75" customWidth="1"/>
    <col min="3585" max="3585" width="33.875" customWidth="1"/>
    <col min="3586" max="3586" width="54.625" customWidth="1"/>
    <col min="3588" max="3588" width="6.75" customWidth="1"/>
    <col min="3841" max="3841" width="33.875" customWidth="1"/>
    <col min="3842" max="3842" width="54.625" customWidth="1"/>
    <col min="3844" max="3844" width="6.75" customWidth="1"/>
    <col min="4097" max="4097" width="33.875" customWidth="1"/>
    <col min="4098" max="4098" width="54.625" customWidth="1"/>
    <col min="4100" max="4100" width="6.75" customWidth="1"/>
    <col min="4353" max="4353" width="33.875" customWidth="1"/>
    <col min="4354" max="4354" width="54.625" customWidth="1"/>
    <col min="4356" max="4356" width="6.75" customWidth="1"/>
    <col min="4609" max="4609" width="33.875" customWidth="1"/>
    <col min="4610" max="4610" width="54.625" customWidth="1"/>
    <col min="4612" max="4612" width="6.75" customWidth="1"/>
    <col min="4865" max="4865" width="33.875" customWidth="1"/>
    <col min="4866" max="4866" width="54.625" customWidth="1"/>
    <col min="4868" max="4868" width="6.75" customWidth="1"/>
    <col min="5121" max="5121" width="33.875" customWidth="1"/>
    <col min="5122" max="5122" width="54.625" customWidth="1"/>
    <col min="5124" max="5124" width="6.75" customWidth="1"/>
    <col min="5377" max="5377" width="33.875" customWidth="1"/>
    <col min="5378" max="5378" width="54.625" customWidth="1"/>
    <col min="5380" max="5380" width="6.75" customWidth="1"/>
    <col min="5633" max="5633" width="33.875" customWidth="1"/>
    <col min="5634" max="5634" width="54.625" customWidth="1"/>
    <col min="5636" max="5636" width="6.75" customWidth="1"/>
    <col min="5889" max="5889" width="33.875" customWidth="1"/>
    <col min="5890" max="5890" width="54.625" customWidth="1"/>
    <col min="5892" max="5892" width="6.75" customWidth="1"/>
    <col min="6145" max="6145" width="33.875" customWidth="1"/>
    <col min="6146" max="6146" width="54.625" customWidth="1"/>
    <col min="6148" max="6148" width="6.75" customWidth="1"/>
    <col min="6401" max="6401" width="33.875" customWidth="1"/>
    <col min="6402" max="6402" width="54.625" customWidth="1"/>
    <col min="6404" max="6404" width="6.75" customWidth="1"/>
    <col min="6657" max="6657" width="33.875" customWidth="1"/>
    <col min="6658" max="6658" width="54.625" customWidth="1"/>
    <col min="6660" max="6660" width="6.75" customWidth="1"/>
    <col min="6913" max="6913" width="33.875" customWidth="1"/>
    <col min="6914" max="6914" width="54.625" customWidth="1"/>
    <col min="6916" max="6916" width="6.75" customWidth="1"/>
    <col min="7169" max="7169" width="33.875" customWidth="1"/>
    <col min="7170" max="7170" width="54.625" customWidth="1"/>
    <col min="7172" max="7172" width="6.75" customWidth="1"/>
    <col min="7425" max="7425" width="33.875" customWidth="1"/>
    <col min="7426" max="7426" width="54.625" customWidth="1"/>
    <col min="7428" max="7428" width="6.75" customWidth="1"/>
    <col min="7681" max="7681" width="33.875" customWidth="1"/>
    <col min="7682" max="7682" width="54.625" customWidth="1"/>
    <col min="7684" max="7684" width="6.75" customWidth="1"/>
    <col min="7937" max="7937" width="33.875" customWidth="1"/>
    <col min="7938" max="7938" width="54.625" customWidth="1"/>
    <col min="7940" max="7940" width="6.75" customWidth="1"/>
    <col min="8193" max="8193" width="33.875" customWidth="1"/>
    <col min="8194" max="8194" width="54.625" customWidth="1"/>
    <col min="8196" max="8196" width="6.75" customWidth="1"/>
    <col min="8449" max="8449" width="33.875" customWidth="1"/>
    <col min="8450" max="8450" width="54.625" customWidth="1"/>
    <col min="8452" max="8452" width="6.75" customWidth="1"/>
    <col min="8705" max="8705" width="33.875" customWidth="1"/>
    <col min="8706" max="8706" width="54.625" customWidth="1"/>
    <col min="8708" max="8708" width="6.75" customWidth="1"/>
    <col min="8961" max="8961" width="33.875" customWidth="1"/>
    <col min="8962" max="8962" width="54.625" customWidth="1"/>
    <col min="8964" max="8964" width="6.75" customWidth="1"/>
    <col min="9217" max="9217" width="33.875" customWidth="1"/>
    <col min="9218" max="9218" width="54.625" customWidth="1"/>
    <col min="9220" max="9220" width="6.75" customWidth="1"/>
    <col min="9473" max="9473" width="33.875" customWidth="1"/>
    <col min="9474" max="9474" width="54.625" customWidth="1"/>
    <col min="9476" max="9476" width="6.75" customWidth="1"/>
    <col min="9729" max="9729" width="33.875" customWidth="1"/>
    <col min="9730" max="9730" width="54.625" customWidth="1"/>
    <col min="9732" max="9732" width="6.75" customWidth="1"/>
    <col min="9985" max="9985" width="33.875" customWidth="1"/>
    <col min="9986" max="9986" width="54.625" customWidth="1"/>
    <col min="9988" max="9988" width="6.75" customWidth="1"/>
    <col min="10241" max="10241" width="33.875" customWidth="1"/>
    <col min="10242" max="10242" width="54.625" customWidth="1"/>
    <col min="10244" max="10244" width="6.75" customWidth="1"/>
    <col min="10497" max="10497" width="33.875" customWidth="1"/>
    <col min="10498" max="10498" width="54.625" customWidth="1"/>
    <col min="10500" max="10500" width="6.75" customWidth="1"/>
    <col min="10753" max="10753" width="33.875" customWidth="1"/>
    <col min="10754" max="10754" width="54.625" customWidth="1"/>
    <col min="10756" max="10756" width="6.75" customWidth="1"/>
    <col min="11009" max="11009" width="33.875" customWidth="1"/>
    <col min="11010" max="11010" width="54.625" customWidth="1"/>
    <col min="11012" max="11012" width="6.75" customWidth="1"/>
    <col min="11265" max="11265" width="33.875" customWidth="1"/>
    <col min="11266" max="11266" width="54.625" customWidth="1"/>
    <col min="11268" max="11268" width="6.75" customWidth="1"/>
    <col min="11521" max="11521" width="33.875" customWidth="1"/>
    <col min="11522" max="11522" width="54.625" customWidth="1"/>
    <col min="11524" max="11524" width="6.75" customWidth="1"/>
    <col min="11777" max="11777" width="33.875" customWidth="1"/>
    <col min="11778" max="11778" width="54.625" customWidth="1"/>
    <col min="11780" max="11780" width="6.75" customWidth="1"/>
    <col min="12033" max="12033" width="33.875" customWidth="1"/>
    <col min="12034" max="12034" width="54.625" customWidth="1"/>
    <col min="12036" max="12036" width="6.75" customWidth="1"/>
    <col min="12289" max="12289" width="33.875" customWidth="1"/>
    <col min="12290" max="12290" width="54.625" customWidth="1"/>
    <col min="12292" max="12292" width="6.75" customWidth="1"/>
    <col min="12545" max="12545" width="33.875" customWidth="1"/>
    <col min="12546" max="12546" width="54.625" customWidth="1"/>
    <col min="12548" max="12548" width="6.75" customWidth="1"/>
    <col min="12801" max="12801" width="33.875" customWidth="1"/>
    <col min="12802" max="12802" width="54.625" customWidth="1"/>
    <col min="12804" max="12804" width="6.75" customWidth="1"/>
    <col min="13057" max="13057" width="33.875" customWidth="1"/>
    <col min="13058" max="13058" width="54.625" customWidth="1"/>
    <col min="13060" max="13060" width="6.75" customWidth="1"/>
    <col min="13313" max="13313" width="33.875" customWidth="1"/>
    <col min="13314" max="13314" width="54.625" customWidth="1"/>
    <col min="13316" max="13316" width="6.75" customWidth="1"/>
    <col min="13569" max="13569" width="33.875" customWidth="1"/>
    <col min="13570" max="13570" width="54.625" customWidth="1"/>
    <col min="13572" max="13572" width="6.75" customWidth="1"/>
    <col min="13825" max="13825" width="33.875" customWidth="1"/>
    <col min="13826" max="13826" width="54.625" customWidth="1"/>
    <col min="13828" max="13828" width="6.75" customWidth="1"/>
    <col min="14081" max="14081" width="33.875" customWidth="1"/>
    <col min="14082" max="14082" width="54.625" customWidth="1"/>
    <col min="14084" max="14084" width="6.75" customWidth="1"/>
    <col min="14337" max="14337" width="33.875" customWidth="1"/>
    <col min="14338" max="14338" width="54.625" customWidth="1"/>
    <col min="14340" max="14340" width="6.75" customWidth="1"/>
    <col min="14593" max="14593" width="33.875" customWidth="1"/>
    <col min="14594" max="14594" width="54.625" customWidth="1"/>
    <col min="14596" max="14596" width="6.75" customWidth="1"/>
    <col min="14849" max="14849" width="33.875" customWidth="1"/>
    <col min="14850" max="14850" width="54.625" customWidth="1"/>
    <col min="14852" max="14852" width="6.75" customWidth="1"/>
    <col min="15105" max="15105" width="33.875" customWidth="1"/>
    <col min="15106" max="15106" width="54.625" customWidth="1"/>
    <col min="15108" max="15108" width="6.75" customWidth="1"/>
    <col min="15361" max="15361" width="33.875" customWidth="1"/>
    <col min="15362" max="15362" width="54.625" customWidth="1"/>
    <col min="15364" max="15364" width="6.75" customWidth="1"/>
    <col min="15617" max="15617" width="33.875" customWidth="1"/>
    <col min="15618" max="15618" width="54.625" customWidth="1"/>
    <col min="15620" max="15620" width="6.75" customWidth="1"/>
    <col min="15873" max="15873" width="33.875" customWidth="1"/>
    <col min="15874" max="15874" width="54.625" customWidth="1"/>
    <col min="15876" max="15876" width="6.75" customWidth="1"/>
    <col min="16129" max="16129" width="33.875" customWidth="1"/>
    <col min="16130" max="16130" width="54.625" customWidth="1"/>
    <col min="16132" max="16132" width="6.75" customWidth="1"/>
  </cols>
  <sheetData>
    <row r="1" spans="1:10" ht="20.25" customHeight="1">
      <c r="A1" t="s">
        <v>725</v>
      </c>
      <c r="B1" s="376" t="s">
        <v>979</v>
      </c>
    </row>
    <row r="3" spans="1:10" ht="41.25" customHeight="1">
      <c r="A3" s="480" t="s">
        <v>980</v>
      </c>
      <c r="B3" s="6" t="s">
        <v>883</v>
      </c>
      <c r="E3" s="16"/>
      <c r="F3" s="16"/>
      <c r="G3" s="16"/>
      <c r="H3" s="16"/>
      <c r="I3" s="16"/>
      <c r="J3" s="16"/>
    </row>
    <row r="4" spans="1:10" ht="41.25" customHeight="1">
      <c r="A4" s="472" t="s">
        <v>549</v>
      </c>
      <c r="B4" s="6" t="s">
        <v>770</v>
      </c>
      <c r="E4" s="16"/>
      <c r="F4" s="16"/>
      <c r="G4" s="16"/>
      <c r="H4" s="16"/>
      <c r="I4" s="16"/>
      <c r="J4" s="16"/>
    </row>
    <row r="5" spans="1:10" ht="40.5">
      <c r="A5" s="472" t="s">
        <v>906</v>
      </c>
      <c r="B5" s="244" t="s">
        <v>92</v>
      </c>
      <c r="E5" s="16"/>
      <c r="F5" s="16"/>
      <c r="G5" s="16"/>
      <c r="H5" s="16"/>
      <c r="I5" s="16"/>
      <c r="J5" s="16"/>
    </row>
    <row r="6" spans="1:10" ht="27">
      <c r="A6" s="472" t="s">
        <v>862</v>
      </c>
      <c r="B6" s="244" t="s">
        <v>981</v>
      </c>
      <c r="E6" s="16"/>
      <c r="F6" s="16"/>
      <c r="G6" s="16"/>
      <c r="H6" s="16"/>
      <c r="I6" s="16"/>
      <c r="J6" s="16"/>
    </row>
    <row r="7" spans="1:10" ht="41.25" customHeight="1">
      <c r="A7" s="472" t="s">
        <v>270</v>
      </c>
      <c r="B7" s="6" t="s">
        <v>982</v>
      </c>
    </row>
    <row r="8" spans="1:10" ht="41.25" customHeight="1">
      <c r="A8" s="472" t="s">
        <v>983</v>
      </c>
      <c r="B8" s="6" t="s">
        <v>46</v>
      </c>
    </row>
    <row r="9" spans="1:10" ht="41.25" customHeight="1">
      <c r="A9" s="472" t="s">
        <v>890</v>
      </c>
      <c r="B9" s="6" t="s">
        <v>126</v>
      </c>
    </row>
    <row r="10" spans="1:10" ht="41.25" customHeight="1">
      <c r="A10" s="472"/>
      <c r="B10" s="6"/>
    </row>
    <row r="11" spans="1:10" ht="41.25" customHeight="1">
      <c r="A11" s="474" t="s">
        <v>743</v>
      </c>
      <c r="B11" s="474"/>
    </row>
    <row r="12" spans="1:10" ht="21" customHeight="1">
      <c r="A12" s="481" t="s">
        <v>984</v>
      </c>
      <c r="B12" s="482"/>
    </row>
  </sheetData>
  <mergeCells count="6">
    <mergeCell ref="E3:J3"/>
    <mergeCell ref="E4:J4"/>
    <mergeCell ref="E5:J5"/>
    <mergeCell ref="E6:J6"/>
    <mergeCell ref="A11:B11"/>
    <mergeCell ref="A12:B12"/>
  </mergeCells>
  <phoneticPr fontId="1"/>
  <pageMargins left="0.7" right="0.7" top="0.75" bottom="0.75" header="0.3" footer="0.3"/>
  <pageSetup paperSize="9" fitToWidth="1" fitToHeight="1" orientation="portrait"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rgb="FFD4F3B5"/>
  </sheetPr>
  <dimension ref="A1:I11"/>
  <sheetViews>
    <sheetView view="pageBreakPreview" zoomScale="60" workbookViewId="0">
      <selection activeCell="AC55" sqref="AC55"/>
    </sheetView>
  </sheetViews>
  <sheetFormatPr defaultRowHeight="13.5"/>
  <cols>
    <col min="1" max="1" width="4.625" customWidth="1"/>
    <col min="4" max="4" width="11.375" customWidth="1"/>
    <col min="9" max="9" width="19.25" customWidth="1"/>
    <col min="257" max="257" width="4.625" customWidth="1"/>
    <col min="260" max="260" width="11.375" customWidth="1"/>
    <col min="265" max="265" width="19.25" customWidth="1"/>
    <col min="513" max="513" width="4.625" customWidth="1"/>
    <col min="516" max="516" width="11.375" customWidth="1"/>
    <col min="521" max="521" width="19.25" customWidth="1"/>
    <col min="769" max="769" width="4.625" customWidth="1"/>
    <col min="772" max="772" width="11.375" customWidth="1"/>
    <col min="777" max="777" width="19.25" customWidth="1"/>
    <col min="1025" max="1025" width="4.625" customWidth="1"/>
    <col min="1028" max="1028" width="11.375" customWidth="1"/>
    <col min="1033" max="1033" width="19.25" customWidth="1"/>
    <col min="1281" max="1281" width="4.625" customWidth="1"/>
    <col min="1284" max="1284" width="11.375" customWidth="1"/>
    <col min="1289" max="1289" width="19.25" customWidth="1"/>
    <col min="1537" max="1537" width="4.625" customWidth="1"/>
    <col min="1540" max="1540" width="11.375" customWidth="1"/>
    <col min="1545" max="1545" width="19.25" customWidth="1"/>
    <col min="1793" max="1793" width="4.625" customWidth="1"/>
    <col min="1796" max="1796" width="11.375" customWidth="1"/>
    <col min="1801" max="1801" width="19.25" customWidth="1"/>
    <col min="2049" max="2049" width="4.625" customWidth="1"/>
    <col min="2052" max="2052" width="11.375" customWidth="1"/>
    <col min="2057" max="2057" width="19.25" customWidth="1"/>
    <col min="2305" max="2305" width="4.625" customWidth="1"/>
    <col min="2308" max="2308" width="11.375" customWidth="1"/>
    <col min="2313" max="2313" width="19.25" customWidth="1"/>
    <col min="2561" max="2561" width="4.625" customWidth="1"/>
    <col min="2564" max="2564" width="11.375" customWidth="1"/>
    <col min="2569" max="2569" width="19.25" customWidth="1"/>
    <col min="2817" max="2817" width="4.625" customWidth="1"/>
    <col min="2820" max="2820" width="11.375" customWidth="1"/>
    <col min="2825" max="2825" width="19.25" customWidth="1"/>
    <col min="3073" max="3073" width="4.625" customWidth="1"/>
    <col min="3076" max="3076" width="11.375" customWidth="1"/>
    <col min="3081" max="3081" width="19.25" customWidth="1"/>
    <col min="3329" max="3329" width="4.625" customWidth="1"/>
    <col min="3332" max="3332" width="11.375" customWidth="1"/>
    <col min="3337" max="3337" width="19.25" customWidth="1"/>
    <col min="3585" max="3585" width="4.625" customWidth="1"/>
    <col min="3588" max="3588" width="11.375" customWidth="1"/>
    <col min="3593" max="3593" width="19.25" customWidth="1"/>
    <col min="3841" max="3841" width="4.625" customWidth="1"/>
    <col min="3844" max="3844" width="11.375" customWidth="1"/>
    <col min="3849" max="3849" width="19.25" customWidth="1"/>
    <col min="4097" max="4097" width="4.625" customWidth="1"/>
    <col min="4100" max="4100" width="11.375" customWidth="1"/>
    <col min="4105" max="4105" width="19.25" customWidth="1"/>
    <col min="4353" max="4353" width="4.625" customWidth="1"/>
    <col min="4356" max="4356" width="11.375" customWidth="1"/>
    <col min="4361" max="4361" width="19.25" customWidth="1"/>
    <col min="4609" max="4609" width="4.625" customWidth="1"/>
    <col min="4612" max="4612" width="11.375" customWidth="1"/>
    <col min="4617" max="4617" width="19.25" customWidth="1"/>
    <col min="4865" max="4865" width="4.625" customWidth="1"/>
    <col min="4868" max="4868" width="11.375" customWidth="1"/>
    <col min="4873" max="4873" width="19.25" customWidth="1"/>
    <col min="5121" max="5121" width="4.625" customWidth="1"/>
    <col min="5124" max="5124" width="11.375" customWidth="1"/>
    <col min="5129" max="5129" width="19.25" customWidth="1"/>
    <col min="5377" max="5377" width="4.625" customWidth="1"/>
    <col min="5380" max="5380" width="11.375" customWidth="1"/>
    <col min="5385" max="5385" width="19.25" customWidth="1"/>
    <col min="5633" max="5633" width="4.625" customWidth="1"/>
    <col min="5636" max="5636" width="11.375" customWidth="1"/>
    <col min="5641" max="5641" width="19.25" customWidth="1"/>
    <col min="5889" max="5889" width="4.625" customWidth="1"/>
    <col min="5892" max="5892" width="11.375" customWidth="1"/>
    <col min="5897" max="5897" width="19.25" customWidth="1"/>
    <col min="6145" max="6145" width="4.625" customWidth="1"/>
    <col min="6148" max="6148" width="11.375" customWidth="1"/>
    <col min="6153" max="6153" width="19.25" customWidth="1"/>
    <col min="6401" max="6401" width="4.625" customWidth="1"/>
    <col min="6404" max="6404" width="11.375" customWidth="1"/>
    <col min="6409" max="6409" width="19.25" customWidth="1"/>
    <col min="6657" max="6657" width="4.625" customWidth="1"/>
    <col min="6660" max="6660" width="11.375" customWidth="1"/>
    <col min="6665" max="6665" width="19.25" customWidth="1"/>
    <col min="6913" max="6913" width="4.625" customWidth="1"/>
    <col min="6916" max="6916" width="11.375" customWidth="1"/>
    <col min="6921" max="6921" width="19.25" customWidth="1"/>
    <col min="7169" max="7169" width="4.625" customWidth="1"/>
    <col min="7172" max="7172" width="11.375" customWidth="1"/>
    <col min="7177" max="7177" width="19.25" customWidth="1"/>
    <col min="7425" max="7425" width="4.625" customWidth="1"/>
    <col min="7428" max="7428" width="11.375" customWidth="1"/>
    <col min="7433" max="7433" width="19.25" customWidth="1"/>
    <col min="7681" max="7681" width="4.625" customWidth="1"/>
    <col min="7684" max="7684" width="11.375" customWidth="1"/>
    <col min="7689" max="7689" width="19.25" customWidth="1"/>
    <col min="7937" max="7937" width="4.625" customWidth="1"/>
    <col min="7940" max="7940" width="11.375" customWidth="1"/>
    <col min="7945" max="7945" width="19.25" customWidth="1"/>
    <col min="8193" max="8193" width="4.625" customWidth="1"/>
    <col min="8196" max="8196" width="11.375" customWidth="1"/>
    <col min="8201" max="8201" width="19.25" customWidth="1"/>
    <col min="8449" max="8449" width="4.625" customWidth="1"/>
    <col min="8452" max="8452" width="11.375" customWidth="1"/>
    <col min="8457" max="8457" width="19.25" customWidth="1"/>
    <col min="8705" max="8705" width="4.625" customWidth="1"/>
    <col min="8708" max="8708" width="11.375" customWidth="1"/>
    <col min="8713" max="8713" width="19.25" customWidth="1"/>
    <col min="8961" max="8961" width="4.625" customWidth="1"/>
    <col min="8964" max="8964" width="11.375" customWidth="1"/>
    <col min="8969" max="8969" width="19.25" customWidth="1"/>
    <col min="9217" max="9217" width="4.625" customWidth="1"/>
    <col min="9220" max="9220" width="11.375" customWidth="1"/>
    <col min="9225" max="9225" width="19.25" customWidth="1"/>
    <col min="9473" max="9473" width="4.625" customWidth="1"/>
    <col min="9476" max="9476" width="11.375" customWidth="1"/>
    <col min="9481" max="9481" width="19.25" customWidth="1"/>
    <col min="9729" max="9729" width="4.625" customWidth="1"/>
    <col min="9732" max="9732" width="11.375" customWidth="1"/>
    <col min="9737" max="9737" width="19.25" customWidth="1"/>
    <col min="9985" max="9985" width="4.625" customWidth="1"/>
    <col min="9988" max="9988" width="11.375" customWidth="1"/>
    <col min="9993" max="9993" width="19.25" customWidth="1"/>
    <col min="10241" max="10241" width="4.625" customWidth="1"/>
    <col min="10244" max="10244" width="11.375" customWidth="1"/>
    <col min="10249" max="10249" width="19.25" customWidth="1"/>
    <col min="10497" max="10497" width="4.625" customWidth="1"/>
    <col min="10500" max="10500" width="11.375" customWidth="1"/>
    <col min="10505" max="10505" width="19.25" customWidth="1"/>
    <col min="10753" max="10753" width="4.625" customWidth="1"/>
    <col min="10756" max="10756" width="11.375" customWidth="1"/>
    <col min="10761" max="10761" width="19.25" customWidth="1"/>
    <col min="11009" max="11009" width="4.625" customWidth="1"/>
    <col min="11012" max="11012" width="11.375" customWidth="1"/>
    <col min="11017" max="11017" width="19.25" customWidth="1"/>
    <col min="11265" max="11265" width="4.625" customWidth="1"/>
    <col min="11268" max="11268" width="11.375" customWidth="1"/>
    <col min="11273" max="11273" width="19.25" customWidth="1"/>
    <col min="11521" max="11521" width="4.625" customWidth="1"/>
    <col min="11524" max="11524" width="11.375" customWidth="1"/>
    <col min="11529" max="11529" width="19.25" customWidth="1"/>
    <col min="11777" max="11777" width="4.625" customWidth="1"/>
    <col min="11780" max="11780" width="11.375" customWidth="1"/>
    <col min="11785" max="11785" width="19.25" customWidth="1"/>
    <col min="12033" max="12033" width="4.625" customWidth="1"/>
    <col min="12036" max="12036" width="11.375" customWidth="1"/>
    <col min="12041" max="12041" width="19.25" customWidth="1"/>
    <col min="12289" max="12289" width="4.625" customWidth="1"/>
    <col min="12292" max="12292" width="11.375" customWidth="1"/>
    <col min="12297" max="12297" width="19.25" customWidth="1"/>
    <col min="12545" max="12545" width="4.625" customWidth="1"/>
    <col min="12548" max="12548" width="11.375" customWidth="1"/>
    <col min="12553" max="12553" width="19.25" customWidth="1"/>
    <col min="12801" max="12801" width="4.625" customWidth="1"/>
    <col min="12804" max="12804" width="11.375" customWidth="1"/>
    <col min="12809" max="12809" width="19.25" customWidth="1"/>
    <col min="13057" max="13057" width="4.625" customWidth="1"/>
    <col min="13060" max="13060" width="11.375" customWidth="1"/>
    <col min="13065" max="13065" width="19.25" customWidth="1"/>
    <col min="13313" max="13313" width="4.625" customWidth="1"/>
    <col min="13316" max="13316" width="11.375" customWidth="1"/>
    <col min="13321" max="13321" width="19.25" customWidth="1"/>
    <col min="13569" max="13569" width="4.625" customWidth="1"/>
    <col min="13572" max="13572" width="11.375" customWidth="1"/>
    <col min="13577" max="13577" width="19.25" customWidth="1"/>
    <col min="13825" max="13825" width="4.625" customWidth="1"/>
    <col min="13828" max="13828" width="11.375" customWidth="1"/>
    <col min="13833" max="13833" width="19.25" customWidth="1"/>
    <col min="14081" max="14081" width="4.625" customWidth="1"/>
    <col min="14084" max="14084" width="11.375" customWidth="1"/>
    <col min="14089" max="14089" width="19.25" customWidth="1"/>
    <col min="14337" max="14337" width="4.625" customWidth="1"/>
    <col min="14340" max="14340" width="11.375" customWidth="1"/>
    <col min="14345" max="14345" width="19.25" customWidth="1"/>
    <col min="14593" max="14593" width="4.625" customWidth="1"/>
    <col min="14596" max="14596" width="11.375" customWidth="1"/>
    <col min="14601" max="14601" width="19.25" customWidth="1"/>
    <col min="14849" max="14849" width="4.625" customWidth="1"/>
    <col min="14852" max="14852" width="11.375" customWidth="1"/>
    <col min="14857" max="14857" width="19.25" customWidth="1"/>
    <col min="15105" max="15105" width="4.625" customWidth="1"/>
    <col min="15108" max="15108" width="11.375" customWidth="1"/>
    <col min="15113" max="15113" width="19.25" customWidth="1"/>
    <col min="15361" max="15361" width="4.625" customWidth="1"/>
    <col min="15364" max="15364" width="11.375" customWidth="1"/>
    <col min="15369" max="15369" width="19.25" customWidth="1"/>
    <col min="15617" max="15617" width="4.625" customWidth="1"/>
    <col min="15620" max="15620" width="11.375" customWidth="1"/>
    <col min="15625" max="15625" width="19.25" customWidth="1"/>
    <col min="15873" max="15873" width="4.625" customWidth="1"/>
    <col min="15876" max="15876" width="11.375" customWidth="1"/>
    <col min="15881" max="15881" width="19.25" customWidth="1"/>
    <col min="16129" max="16129" width="4.625" customWidth="1"/>
    <col min="16132" max="16132" width="11.375" customWidth="1"/>
    <col min="16137" max="16137" width="19.25" customWidth="1"/>
  </cols>
  <sheetData>
    <row r="1" spans="1:9">
      <c r="A1" t="s">
        <v>696</v>
      </c>
      <c r="I1" t="s">
        <v>969</v>
      </c>
    </row>
    <row r="3" spans="1:9" ht="30" customHeight="1">
      <c r="A3" s="370" t="s">
        <v>970</v>
      </c>
      <c r="B3" s="370"/>
      <c r="C3" s="370"/>
      <c r="D3" s="370"/>
      <c r="E3" s="72"/>
      <c r="F3" s="72"/>
      <c r="G3" s="72"/>
      <c r="H3" s="72"/>
      <c r="I3" s="72"/>
    </row>
    <row r="4" spans="1:9" ht="63" customHeight="1">
      <c r="A4" s="483" t="s">
        <v>971</v>
      </c>
      <c r="B4" s="472" t="s">
        <v>972</v>
      </c>
      <c r="C4" s="472"/>
      <c r="D4" s="472"/>
      <c r="E4" s="244" t="s">
        <v>363</v>
      </c>
      <c r="F4" s="6"/>
      <c r="G4" s="6"/>
      <c r="H4" s="6"/>
      <c r="I4" s="6"/>
    </row>
    <row r="5" spans="1:9" ht="37.5" customHeight="1">
      <c r="A5" s="483"/>
      <c r="B5" s="472" t="s">
        <v>107</v>
      </c>
      <c r="C5" s="472"/>
      <c r="D5" s="472"/>
      <c r="E5" s="6" t="s">
        <v>143</v>
      </c>
      <c r="F5" s="6"/>
      <c r="G5" s="6"/>
      <c r="H5" s="6"/>
      <c r="I5" s="6"/>
    </row>
    <row r="6" spans="1:9" ht="37.5" customHeight="1">
      <c r="A6" s="483"/>
      <c r="B6" s="472" t="s">
        <v>699</v>
      </c>
      <c r="C6" s="472"/>
      <c r="D6" s="472"/>
      <c r="E6" s="72"/>
      <c r="F6" s="72"/>
      <c r="G6" s="72"/>
      <c r="H6" s="72"/>
      <c r="I6" s="72"/>
    </row>
    <row r="7" spans="1:9" ht="37.5" customHeight="1">
      <c r="A7" s="483"/>
      <c r="B7" s="472" t="s">
        <v>973</v>
      </c>
      <c r="C7" s="472"/>
      <c r="D7" s="472"/>
      <c r="E7" s="72"/>
      <c r="F7" s="72"/>
      <c r="G7" s="72"/>
      <c r="H7" s="72"/>
      <c r="I7" s="72"/>
    </row>
    <row r="8" spans="1:9" ht="37.5" customHeight="1">
      <c r="A8" s="483"/>
      <c r="B8" s="472" t="s">
        <v>976</v>
      </c>
      <c r="C8" s="472"/>
      <c r="D8" s="472"/>
      <c r="E8" s="6" t="s">
        <v>845</v>
      </c>
      <c r="F8" s="6"/>
      <c r="G8" s="6"/>
      <c r="H8" s="6"/>
      <c r="I8" s="6"/>
    </row>
    <row r="9" spans="1:9" ht="37.5" customHeight="1">
      <c r="A9" s="483"/>
      <c r="B9" s="472"/>
      <c r="C9" s="472"/>
      <c r="D9" s="472"/>
      <c r="E9" s="72"/>
      <c r="F9" s="72"/>
      <c r="G9" s="72"/>
      <c r="H9" s="72"/>
      <c r="I9" s="72"/>
    </row>
    <row r="10" spans="1:9">
      <c r="B10" s="16"/>
      <c r="C10" s="16"/>
      <c r="D10" s="16"/>
      <c r="E10" s="16"/>
      <c r="F10" s="16"/>
      <c r="G10" s="16"/>
      <c r="H10" s="16"/>
      <c r="I10" s="16"/>
    </row>
    <row r="11" spans="1:9" ht="88.5" customHeight="1">
      <c r="A11" s="484" t="s">
        <v>978</v>
      </c>
      <c r="B11" s="325"/>
      <c r="C11" s="325"/>
      <c r="D11" s="325"/>
      <c r="E11" s="325"/>
      <c r="F11" s="325"/>
      <c r="G11" s="325"/>
      <c r="H11" s="325"/>
      <c r="I11" s="325"/>
    </row>
  </sheetData>
  <mergeCells count="18">
    <mergeCell ref="A3:D3"/>
    <mergeCell ref="E3:I3"/>
    <mergeCell ref="B4:D4"/>
    <mergeCell ref="E4:I4"/>
    <mergeCell ref="B5:D5"/>
    <mergeCell ref="E5:I5"/>
    <mergeCell ref="B6:D6"/>
    <mergeCell ref="E6:I6"/>
    <mergeCell ref="B7:D7"/>
    <mergeCell ref="E7:I7"/>
    <mergeCell ref="B8:D8"/>
    <mergeCell ref="E8:I8"/>
    <mergeCell ref="B9:D9"/>
    <mergeCell ref="E9:I9"/>
    <mergeCell ref="B10:D10"/>
    <mergeCell ref="E10:I10"/>
    <mergeCell ref="A11:I11"/>
    <mergeCell ref="A4:A9"/>
  </mergeCells>
  <phoneticPr fontId="1"/>
  <pageMargins left="0.7" right="0.7" top="0.75" bottom="0.75" header="0.3" footer="0.3"/>
  <pageSetup paperSize="9" fitToWidth="1" fitToHeight="1" orientation="portrait"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rgb="FFD4F3B5"/>
  </sheetPr>
  <dimension ref="A1:D12"/>
  <sheetViews>
    <sheetView view="pageBreakPreview" zoomScale="60" workbookViewId="0">
      <selection activeCell="AC55" sqref="AC55"/>
    </sheetView>
  </sheetViews>
  <sheetFormatPr defaultRowHeight="13.5"/>
  <cols>
    <col min="1" max="1" width="17" customWidth="1"/>
    <col min="2" max="2" width="12" customWidth="1"/>
    <col min="3" max="3" width="21" customWidth="1"/>
    <col min="4" max="4" width="39.375" customWidth="1"/>
    <col min="257" max="257" width="17" customWidth="1"/>
    <col min="258" max="258" width="12" customWidth="1"/>
    <col min="259" max="259" width="21" customWidth="1"/>
    <col min="260" max="260" width="39.375" customWidth="1"/>
    <col min="513" max="513" width="17" customWidth="1"/>
    <col min="514" max="514" width="12" customWidth="1"/>
    <col min="515" max="515" width="21" customWidth="1"/>
    <col min="516" max="516" width="39.375" customWidth="1"/>
    <col min="769" max="769" width="17" customWidth="1"/>
    <col min="770" max="770" width="12" customWidth="1"/>
    <col min="771" max="771" width="21" customWidth="1"/>
    <col min="772" max="772" width="39.375" customWidth="1"/>
    <col min="1025" max="1025" width="17" customWidth="1"/>
    <col min="1026" max="1026" width="12" customWidth="1"/>
    <col min="1027" max="1027" width="21" customWidth="1"/>
    <col min="1028" max="1028" width="39.375" customWidth="1"/>
    <col min="1281" max="1281" width="17" customWidth="1"/>
    <col min="1282" max="1282" width="12" customWidth="1"/>
    <col min="1283" max="1283" width="21" customWidth="1"/>
    <col min="1284" max="1284" width="39.375" customWidth="1"/>
    <col min="1537" max="1537" width="17" customWidth="1"/>
    <col min="1538" max="1538" width="12" customWidth="1"/>
    <col min="1539" max="1539" width="21" customWidth="1"/>
    <col min="1540" max="1540" width="39.375" customWidth="1"/>
    <col min="1793" max="1793" width="17" customWidth="1"/>
    <col min="1794" max="1794" width="12" customWidth="1"/>
    <col min="1795" max="1795" width="21" customWidth="1"/>
    <col min="1796" max="1796" width="39.375" customWidth="1"/>
    <col min="2049" max="2049" width="17" customWidth="1"/>
    <col min="2050" max="2050" width="12" customWidth="1"/>
    <col min="2051" max="2051" width="21" customWidth="1"/>
    <col min="2052" max="2052" width="39.375" customWidth="1"/>
    <col min="2305" max="2305" width="17" customWidth="1"/>
    <col min="2306" max="2306" width="12" customWidth="1"/>
    <col min="2307" max="2307" width="21" customWidth="1"/>
    <col min="2308" max="2308" width="39.375" customWidth="1"/>
    <col min="2561" max="2561" width="17" customWidth="1"/>
    <col min="2562" max="2562" width="12" customWidth="1"/>
    <col min="2563" max="2563" width="21" customWidth="1"/>
    <col min="2564" max="2564" width="39.375" customWidth="1"/>
    <col min="2817" max="2817" width="17" customWidth="1"/>
    <col min="2818" max="2818" width="12" customWidth="1"/>
    <col min="2819" max="2819" width="21" customWidth="1"/>
    <col min="2820" max="2820" width="39.375" customWidth="1"/>
    <col min="3073" max="3073" width="17" customWidth="1"/>
    <col min="3074" max="3074" width="12" customWidth="1"/>
    <col min="3075" max="3075" width="21" customWidth="1"/>
    <col min="3076" max="3076" width="39.375" customWidth="1"/>
    <col min="3329" max="3329" width="17" customWidth="1"/>
    <col min="3330" max="3330" width="12" customWidth="1"/>
    <col min="3331" max="3331" width="21" customWidth="1"/>
    <col min="3332" max="3332" width="39.375" customWidth="1"/>
    <col min="3585" max="3585" width="17" customWidth="1"/>
    <col min="3586" max="3586" width="12" customWidth="1"/>
    <col min="3587" max="3587" width="21" customWidth="1"/>
    <col min="3588" max="3588" width="39.375" customWidth="1"/>
    <col min="3841" max="3841" width="17" customWidth="1"/>
    <col min="3842" max="3842" width="12" customWidth="1"/>
    <col min="3843" max="3843" width="21" customWidth="1"/>
    <col min="3844" max="3844" width="39.375" customWidth="1"/>
    <col min="4097" max="4097" width="17" customWidth="1"/>
    <col min="4098" max="4098" width="12" customWidth="1"/>
    <col min="4099" max="4099" width="21" customWidth="1"/>
    <col min="4100" max="4100" width="39.375" customWidth="1"/>
    <col min="4353" max="4353" width="17" customWidth="1"/>
    <col min="4354" max="4354" width="12" customWidth="1"/>
    <col min="4355" max="4355" width="21" customWidth="1"/>
    <col min="4356" max="4356" width="39.375" customWidth="1"/>
    <col min="4609" max="4609" width="17" customWidth="1"/>
    <col min="4610" max="4610" width="12" customWidth="1"/>
    <col min="4611" max="4611" width="21" customWidth="1"/>
    <col min="4612" max="4612" width="39.375" customWidth="1"/>
    <col min="4865" max="4865" width="17" customWidth="1"/>
    <col min="4866" max="4866" width="12" customWidth="1"/>
    <col min="4867" max="4867" width="21" customWidth="1"/>
    <col min="4868" max="4868" width="39.375" customWidth="1"/>
    <col min="5121" max="5121" width="17" customWidth="1"/>
    <col min="5122" max="5122" width="12" customWidth="1"/>
    <col min="5123" max="5123" width="21" customWidth="1"/>
    <col min="5124" max="5124" width="39.375" customWidth="1"/>
    <col min="5377" max="5377" width="17" customWidth="1"/>
    <col min="5378" max="5378" width="12" customWidth="1"/>
    <col min="5379" max="5379" width="21" customWidth="1"/>
    <col min="5380" max="5380" width="39.375" customWidth="1"/>
    <col min="5633" max="5633" width="17" customWidth="1"/>
    <col min="5634" max="5634" width="12" customWidth="1"/>
    <col min="5635" max="5635" width="21" customWidth="1"/>
    <col min="5636" max="5636" width="39.375" customWidth="1"/>
    <col min="5889" max="5889" width="17" customWidth="1"/>
    <col min="5890" max="5890" width="12" customWidth="1"/>
    <col min="5891" max="5891" width="21" customWidth="1"/>
    <col min="5892" max="5892" width="39.375" customWidth="1"/>
    <col min="6145" max="6145" width="17" customWidth="1"/>
    <col min="6146" max="6146" width="12" customWidth="1"/>
    <col min="6147" max="6147" width="21" customWidth="1"/>
    <col min="6148" max="6148" width="39.375" customWidth="1"/>
    <col min="6401" max="6401" width="17" customWidth="1"/>
    <col min="6402" max="6402" width="12" customWidth="1"/>
    <col min="6403" max="6403" width="21" customWidth="1"/>
    <col min="6404" max="6404" width="39.375" customWidth="1"/>
    <col min="6657" max="6657" width="17" customWidth="1"/>
    <col min="6658" max="6658" width="12" customWidth="1"/>
    <col min="6659" max="6659" width="21" customWidth="1"/>
    <col min="6660" max="6660" width="39.375" customWidth="1"/>
    <col min="6913" max="6913" width="17" customWidth="1"/>
    <col min="6914" max="6914" width="12" customWidth="1"/>
    <col min="6915" max="6915" width="21" customWidth="1"/>
    <col min="6916" max="6916" width="39.375" customWidth="1"/>
    <col min="7169" max="7169" width="17" customWidth="1"/>
    <col min="7170" max="7170" width="12" customWidth="1"/>
    <col min="7171" max="7171" width="21" customWidth="1"/>
    <col min="7172" max="7172" width="39.375" customWidth="1"/>
    <col min="7425" max="7425" width="17" customWidth="1"/>
    <col min="7426" max="7426" width="12" customWidth="1"/>
    <col min="7427" max="7427" width="21" customWidth="1"/>
    <col min="7428" max="7428" width="39.375" customWidth="1"/>
    <col min="7681" max="7681" width="17" customWidth="1"/>
    <col min="7682" max="7682" width="12" customWidth="1"/>
    <col min="7683" max="7683" width="21" customWidth="1"/>
    <col min="7684" max="7684" width="39.375" customWidth="1"/>
    <col min="7937" max="7937" width="17" customWidth="1"/>
    <col min="7938" max="7938" width="12" customWidth="1"/>
    <col min="7939" max="7939" width="21" customWidth="1"/>
    <col min="7940" max="7940" width="39.375" customWidth="1"/>
    <col min="8193" max="8193" width="17" customWidth="1"/>
    <col min="8194" max="8194" width="12" customWidth="1"/>
    <col min="8195" max="8195" width="21" customWidth="1"/>
    <col min="8196" max="8196" width="39.375" customWidth="1"/>
    <col min="8449" max="8449" width="17" customWidth="1"/>
    <col min="8450" max="8450" width="12" customWidth="1"/>
    <col min="8451" max="8451" width="21" customWidth="1"/>
    <col min="8452" max="8452" width="39.375" customWidth="1"/>
    <col min="8705" max="8705" width="17" customWidth="1"/>
    <col min="8706" max="8706" width="12" customWidth="1"/>
    <col min="8707" max="8707" width="21" customWidth="1"/>
    <col min="8708" max="8708" width="39.375" customWidth="1"/>
    <col min="8961" max="8961" width="17" customWidth="1"/>
    <col min="8962" max="8962" width="12" customWidth="1"/>
    <col min="8963" max="8963" width="21" customWidth="1"/>
    <col min="8964" max="8964" width="39.375" customWidth="1"/>
    <col min="9217" max="9217" width="17" customWidth="1"/>
    <col min="9218" max="9218" width="12" customWidth="1"/>
    <col min="9219" max="9219" width="21" customWidth="1"/>
    <col min="9220" max="9220" width="39.375" customWidth="1"/>
    <col min="9473" max="9473" width="17" customWidth="1"/>
    <col min="9474" max="9474" width="12" customWidth="1"/>
    <col min="9475" max="9475" width="21" customWidth="1"/>
    <col min="9476" max="9476" width="39.375" customWidth="1"/>
    <col min="9729" max="9729" width="17" customWidth="1"/>
    <col min="9730" max="9730" width="12" customWidth="1"/>
    <col min="9731" max="9731" width="21" customWidth="1"/>
    <col min="9732" max="9732" width="39.375" customWidth="1"/>
    <col min="9985" max="9985" width="17" customWidth="1"/>
    <col min="9986" max="9986" width="12" customWidth="1"/>
    <col min="9987" max="9987" width="21" customWidth="1"/>
    <col min="9988" max="9988" width="39.375" customWidth="1"/>
    <col min="10241" max="10241" width="17" customWidth="1"/>
    <col min="10242" max="10242" width="12" customWidth="1"/>
    <col min="10243" max="10243" width="21" customWidth="1"/>
    <col min="10244" max="10244" width="39.375" customWidth="1"/>
    <col min="10497" max="10497" width="17" customWidth="1"/>
    <col min="10498" max="10498" width="12" customWidth="1"/>
    <col min="10499" max="10499" width="21" customWidth="1"/>
    <col min="10500" max="10500" width="39.375" customWidth="1"/>
    <col min="10753" max="10753" width="17" customWidth="1"/>
    <col min="10754" max="10754" width="12" customWidth="1"/>
    <col min="10755" max="10755" width="21" customWidth="1"/>
    <col min="10756" max="10756" width="39.375" customWidth="1"/>
    <col min="11009" max="11009" width="17" customWidth="1"/>
    <col min="11010" max="11010" width="12" customWidth="1"/>
    <col min="11011" max="11011" width="21" customWidth="1"/>
    <col min="11012" max="11012" width="39.375" customWidth="1"/>
    <col min="11265" max="11265" width="17" customWidth="1"/>
    <col min="11266" max="11266" width="12" customWidth="1"/>
    <col min="11267" max="11267" width="21" customWidth="1"/>
    <col min="11268" max="11268" width="39.375" customWidth="1"/>
    <col min="11521" max="11521" width="17" customWidth="1"/>
    <col min="11522" max="11522" width="12" customWidth="1"/>
    <col min="11523" max="11523" width="21" customWidth="1"/>
    <col min="11524" max="11524" width="39.375" customWidth="1"/>
    <col min="11777" max="11777" width="17" customWidth="1"/>
    <col min="11778" max="11778" width="12" customWidth="1"/>
    <col min="11779" max="11779" width="21" customWidth="1"/>
    <col min="11780" max="11780" width="39.375" customWidth="1"/>
    <col min="12033" max="12033" width="17" customWidth="1"/>
    <col min="12034" max="12034" width="12" customWidth="1"/>
    <col min="12035" max="12035" width="21" customWidth="1"/>
    <col min="12036" max="12036" width="39.375" customWidth="1"/>
    <col min="12289" max="12289" width="17" customWidth="1"/>
    <col min="12290" max="12290" width="12" customWidth="1"/>
    <col min="12291" max="12291" width="21" customWidth="1"/>
    <col min="12292" max="12292" width="39.375" customWidth="1"/>
    <col min="12545" max="12545" width="17" customWidth="1"/>
    <col min="12546" max="12546" width="12" customWidth="1"/>
    <col min="12547" max="12547" width="21" customWidth="1"/>
    <col min="12548" max="12548" width="39.375" customWidth="1"/>
    <col min="12801" max="12801" width="17" customWidth="1"/>
    <col min="12802" max="12802" width="12" customWidth="1"/>
    <col min="12803" max="12803" width="21" customWidth="1"/>
    <col min="12804" max="12804" width="39.375" customWidth="1"/>
    <col min="13057" max="13057" width="17" customWidth="1"/>
    <col min="13058" max="13058" width="12" customWidth="1"/>
    <col min="13059" max="13059" width="21" customWidth="1"/>
    <col min="13060" max="13060" width="39.375" customWidth="1"/>
    <col min="13313" max="13313" width="17" customWidth="1"/>
    <col min="13314" max="13314" width="12" customWidth="1"/>
    <col min="13315" max="13315" width="21" customWidth="1"/>
    <col min="13316" max="13316" width="39.375" customWidth="1"/>
    <col min="13569" max="13569" width="17" customWidth="1"/>
    <col min="13570" max="13570" width="12" customWidth="1"/>
    <col min="13571" max="13571" width="21" customWidth="1"/>
    <col min="13572" max="13572" width="39.375" customWidth="1"/>
    <col min="13825" max="13825" width="17" customWidth="1"/>
    <col min="13826" max="13826" width="12" customWidth="1"/>
    <col min="13827" max="13827" width="21" customWidth="1"/>
    <col min="13828" max="13828" width="39.375" customWidth="1"/>
    <col min="14081" max="14081" width="17" customWidth="1"/>
    <col min="14082" max="14082" width="12" customWidth="1"/>
    <col min="14083" max="14083" width="21" customWidth="1"/>
    <col min="14084" max="14084" width="39.375" customWidth="1"/>
    <col min="14337" max="14337" width="17" customWidth="1"/>
    <col min="14338" max="14338" width="12" customWidth="1"/>
    <col min="14339" max="14339" width="21" customWidth="1"/>
    <col min="14340" max="14340" width="39.375" customWidth="1"/>
    <col min="14593" max="14593" width="17" customWidth="1"/>
    <col min="14594" max="14594" width="12" customWidth="1"/>
    <col min="14595" max="14595" width="21" customWidth="1"/>
    <col min="14596" max="14596" width="39.375" customWidth="1"/>
    <col min="14849" max="14849" width="17" customWidth="1"/>
    <col min="14850" max="14850" width="12" customWidth="1"/>
    <col min="14851" max="14851" width="21" customWidth="1"/>
    <col min="14852" max="14852" width="39.375" customWidth="1"/>
    <col min="15105" max="15105" width="17" customWidth="1"/>
    <col min="15106" max="15106" width="12" customWidth="1"/>
    <col min="15107" max="15107" width="21" customWidth="1"/>
    <col min="15108" max="15108" width="39.375" customWidth="1"/>
    <col min="15361" max="15361" width="17" customWidth="1"/>
    <col min="15362" max="15362" width="12" customWidth="1"/>
    <col min="15363" max="15363" width="21" customWidth="1"/>
    <col min="15364" max="15364" width="39.375" customWidth="1"/>
    <col min="15617" max="15617" width="17" customWidth="1"/>
    <col min="15618" max="15618" width="12" customWidth="1"/>
    <col min="15619" max="15619" width="21" customWidth="1"/>
    <col min="15620" max="15620" width="39.375" customWidth="1"/>
    <col min="15873" max="15873" width="17" customWidth="1"/>
    <col min="15874" max="15874" width="12" customWidth="1"/>
    <col min="15875" max="15875" width="21" customWidth="1"/>
    <col min="15876" max="15876" width="39.375" customWidth="1"/>
    <col min="16129" max="16129" width="17" customWidth="1"/>
    <col min="16130" max="16130" width="12" customWidth="1"/>
    <col min="16131" max="16131" width="21" customWidth="1"/>
    <col min="16132" max="16132" width="39.375" customWidth="1"/>
  </cols>
  <sheetData>
    <row r="1" spans="1:4">
      <c r="A1" t="s">
        <v>508</v>
      </c>
      <c r="D1" s="376" t="s">
        <v>967</v>
      </c>
    </row>
    <row r="3" spans="1:4" ht="27">
      <c r="A3" s="370" t="s">
        <v>807</v>
      </c>
      <c r="B3" s="371" t="s">
        <v>808</v>
      </c>
      <c r="C3" s="370" t="s">
        <v>809</v>
      </c>
      <c r="D3" s="370" t="s">
        <v>810</v>
      </c>
    </row>
    <row r="4" spans="1:4" ht="27">
      <c r="A4" s="472" t="s">
        <v>811</v>
      </c>
      <c r="B4" s="72" t="s">
        <v>305</v>
      </c>
      <c r="C4" s="238" t="s">
        <v>680</v>
      </c>
      <c r="D4" s="2" t="s">
        <v>812</v>
      </c>
    </row>
    <row r="5" spans="1:4" ht="33" customHeight="1">
      <c r="A5" s="472" t="s">
        <v>663</v>
      </c>
      <c r="B5" s="72"/>
      <c r="C5" s="2"/>
      <c r="D5" s="2"/>
    </row>
    <row r="6" spans="1:4" ht="33" customHeight="1">
      <c r="A6" s="472" t="s">
        <v>760</v>
      </c>
      <c r="B6" s="72"/>
      <c r="C6" s="2"/>
      <c r="D6" s="2"/>
    </row>
    <row r="7" spans="1:4" ht="33" customHeight="1">
      <c r="A7" s="472" t="s">
        <v>813</v>
      </c>
      <c r="B7" s="72"/>
      <c r="C7" s="2"/>
      <c r="D7" s="2"/>
    </row>
    <row r="8" spans="1:4" ht="33" customHeight="1">
      <c r="A8" s="472" t="s">
        <v>814</v>
      </c>
      <c r="B8" s="72"/>
      <c r="C8" s="2"/>
      <c r="D8" s="2"/>
    </row>
    <row r="9" spans="1:4" ht="33" customHeight="1">
      <c r="A9" s="472" t="s">
        <v>815</v>
      </c>
      <c r="B9" s="72"/>
      <c r="C9" s="2"/>
      <c r="D9" s="2"/>
    </row>
    <row r="10" spans="1:4" ht="24.75" customHeight="1"/>
    <row r="11" spans="1:4" ht="124.5" customHeight="1">
      <c r="A11" s="484" t="s">
        <v>277</v>
      </c>
      <c r="B11" s="325"/>
      <c r="C11" s="325"/>
      <c r="D11" s="325"/>
    </row>
    <row r="12" spans="1:4">
      <c r="A12" s="325"/>
    </row>
  </sheetData>
  <mergeCells count="1">
    <mergeCell ref="A11:D11"/>
  </mergeCells>
  <phoneticPr fontId="1"/>
  <pageMargins left="0.7" right="0.7" top="0.75" bottom="0.75" header="0.3" footer="0.3"/>
  <pageSetup paperSize="9" fitToWidth="1" fitToHeight="1" orientation="portrait"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rgb="FFD4F3B5"/>
  </sheetPr>
  <dimension ref="A1:F16"/>
  <sheetViews>
    <sheetView view="pageBreakPreview" zoomScale="60" workbookViewId="0">
      <selection activeCell="AC55" sqref="AC55"/>
    </sheetView>
  </sheetViews>
  <sheetFormatPr defaultRowHeight="27.75" customHeight="1"/>
  <cols>
    <col min="2" max="2" width="19.25" customWidth="1"/>
    <col min="3" max="3" width="10.25" customWidth="1"/>
    <col min="4" max="4" width="13" customWidth="1"/>
    <col min="5" max="5" width="17.875" customWidth="1"/>
    <col min="6" max="6" width="28.125" customWidth="1"/>
    <col min="258" max="258" width="19.25" customWidth="1"/>
    <col min="259" max="259" width="10.25" customWidth="1"/>
    <col min="260" max="260" width="13" customWidth="1"/>
    <col min="261" max="261" width="17.875" customWidth="1"/>
    <col min="262" max="262" width="28.125" customWidth="1"/>
    <col min="514" max="514" width="19.25" customWidth="1"/>
    <col min="515" max="515" width="10.25" customWidth="1"/>
    <col min="516" max="516" width="13" customWidth="1"/>
    <col min="517" max="517" width="17.875" customWidth="1"/>
    <col min="518" max="518" width="28.125" customWidth="1"/>
    <col min="770" max="770" width="19.25" customWidth="1"/>
    <col min="771" max="771" width="10.25" customWidth="1"/>
    <col min="772" max="772" width="13" customWidth="1"/>
    <col min="773" max="773" width="17.875" customWidth="1"/>
    <col min="774" max="774" width="28.125" customWidth="1"/>
    <col min="1026" max="1026" width="19.25" customWidth="1"/>
    <col min="1027" max="1027" width="10.25" customWidth="1"/>
    <col min="1028" max="1028" width="13" customWidth="1"/>
    <col min="1029" max="1029" width="17.875" customWidth="1"/>
    <col min="1030" max="1030" width="28.125" customWidth="1"/>
    <col min="1282" max="1282" width="19.25" customWidth="1"/>
    <col min="1283" max="1283" width="10.25" customWidth="1"/>
    <col min="1284" max="1284" width="13" customWidth="1"/>
    <col min="1285" max="1285" width="17.875" customWidth="1"/>
    <col min="1286" max="1286" width="28.125" customWidth="1"/>
    <col min="1538" max="1538" width="19.25" customWidth="1"/>
    <col min="1539" max="1539" width="10.25" customWidth="1"/>
    <col min="1540" max="1540" width="13" customWidth="1"/>
    <col min="1541" max="1541" width="17.875" customWidth="1"/>
    <col min="1542" max="1542" width="28.125" customWidth="1"/>
    <col min="1794" max="1794" width="19.25" customWidth="1"/>
    <col min="1795" max="1795" width="10.25" customWidth="1"/>
    <col min="1796" max="1796" width="13" customWidth="1"/>
    <col min="1797" max="1797" width="17.875" customWidth="1"/>
    <col min="1798" max="1798" width="28.125" customWidth="1"/>
    <col min="2050" max="2050" width="19.25" customWidth="1"/>
    <col min="2051" max="2051" width="10.25" customWidth="1"/>
    <col min="2052" max="2052" width="13" customWidth="1"/>
    <col min="2053" max="2053" width="17.875" customWidth="1"/>
    <col min="2054" max="2054" width="28.125" customWidth="1"/>
    <col min="2306" max="2306" width="19.25" customWidth="1"/>
    <col min="2307" max="2307" width="10.25" customWidth="1"/>
    <col min="2308" max="2308" width="13" customWidth="1"/>
    <col min="2309" max="2309" width="17.875" customWidth="1"/>
    <col min="2310" max="2310" width="28.125" customWidth="1"/>
    <col min="2562" max="2562" width="19.25" customWidth="1"/>
    <col min="2563" max="2563" width="10.25" customWidth="1"/>
    <col min="2564" max="2564" width="13" customWidth="1"/>
    <col min="2565" max="2565" width="17.875" customWidth="1"/>
    <col min="2566" max="2566" width="28.125" customWidth="1"/>
    <col min="2818" max="2818" width="19.25" customWidth="1"/>
    <col min="2819" max="2819" width="10.25" customWidth="1"/>
    <col min="2820" max="2820" width="13" customWidth="1"/>
    <col min="2821" max="2821" width="17.875" customWidth="1"/>
    <col min="2822" max="2822" width="28.125" customWidth="1"/>
    <col min="3074" max="3074" width="19.25" customWidth="1"/>
    <col min="3075" max="3075" width="10.25" customWidth="1"/>
    <col min="3076" max="3076" width="13" customWidth="1"/>
    <col min="3077" max="3077" width="17.875" customWidth="1"/>
    <col min="3078" max="3078" width="28.125" customWidth="1"/>
    <col min="3330" max="3330" width="19.25" customWidth="1"/>
    <col min="3331" max="3331" width="10.25" customWidth="1"/>
    <col min="3332" max="3332" width="13" customWidth="1"/>
    <col min="3333" max="3333" width="17.875" customWidth="1"/>
    <col min="3334" max="3334" width="28.125" customWidth="1"/>
    <col min="3586" max="3586" width="19.25" customWidth="1"/>
    <col min="3587" max="3587" width="10.25" customWidth="1"/>
    <col min="3588" max="3588" width="13" customWidth="1"/>
    <col min="3589" max="3589" width="17.875" customWidth="1"/>
    <col min="3590" max="3590" width="28.125" customWidth="1"/>
    <col min="3842" max="3842" width="19.25" customWidth="1"/>
    <col min="3843" max="3843" width="10.25" customWidth="1"/>
    <col min="3844" max="3844" width="13" customWidth="1"/>
    <col min="3845" max="3845" width="17.875" customWidth="1"/>
    <col min="3846" max="3846" width="28.125" customWidth="1"/>
    <col min="4098" max="4098" width="19.25" customWidth="1"/>
    <col min="4099" max="4099" width="10.25" customWidth="1"/>
    <col min="4100" max="4100" width="13" customWidth="1"/>
    <col min="4101" max="4101" width="17.875" customWidth="1"/>
    <col min="4102" max="4102" width="28.125" customWidth="1"/>
    <col min="4354" max="4354" width="19.25" customWidth="1"/>
    <col min="4355" max="4355" width="10.25" customWidth="1"/>
    <col min="4356" max="4356" width="13" customWidth="1"/>
    <col min="4357" max="4357" width="17.875" customWidth="1"/>
    <col min="4358" max="4358" width="28.125" customWidth="1"/>
    <col min="4610" max="4610" width="19.25" customWidth="1"/>
    <col min="4611" max="4611" width="10.25" customWidth="1"/>
    <col min="4612" max="4612" width="13" customWidth="1"/>
    <col min="4613" max="4613" width="17.875" customWidth="1"/>
    <col min="4614" max="4614" width="28.125" customWidth="1"/>
    <col min="4866" max="4866" width="19.25" customWidth="1"/>
    <col min="4867" max="4867" width="10.25" customWidth="1"/>
    <col min="4868" max="4868" width="13" customWidth="1"/>
    <col min="4869" max="4869" width="17.875" customWidth="1"/>
    <col min="4870" max="4870" width="28.125" customWidth="1"/>
    <col min="5122" max="5122" width="19.25" customWidth="1"/>
    <col min="5123" max="5123" width="10.25" customWidth="1"/>
    <col min="5124" max="5124" width="13" customWidth="1"/>
    <col min="5125" max="5125" width="17.875" customWidth="1"/>
    <col min="5126" max="5126" width="28.125" customWidth="1"/>
    <col min="5378" max="5378" width="19.25" customWidth="1"/>
    <col min="5379" max="5379" width="10.25" customWidth="1"/>
    <col min="5380" max="5380" width="13" customWidth="1"/>
    <col min="5381" max="5381" width="17.875" customWidth="1"/>
    <col min="5382" max="5382" width="28.125" customWidth="1"/>
    <col min="5634" max="5634" width="19.25" customWidth="1"/>
    <col min="5635" max="5635" width="10.25" customWidth="1"/>
    <col min="5636" max="5636" width="13" customWidth="1"/>
    <col min="5637" max="5637" width="17.875" customWidth="1"/>
    <col min="5638" max="5638" width="28.125" customWidth="1"/>
    <col min="5890" max="5890" width="19.25" customWidth="1"/>
    <col min="5891" max="5891" width="10.25" customWidth="1"/>
    <col min="5892" max="5892" width="13" customWidth="1"/>
    <col min="5893" max="5893" width="17.875" customWidth="1"/>
    <col min="5894" max="5894" width="28.125" customWidth="1"/>
    <col min="6146" max="6146" width="19.25" customWidth="1"/>
    <col min="6147" max="6147" width="10.25" customWidth="1"/>
    <col min="6148" max="6148" width="13" customWidth="1"/>
    <col min="6149" max="6149" width="17.875" customWidth="1"/>
    <col min="6150" max="6150" width="28.125" customWidth="1"/>
    <col min="6402" max="6402" width="19.25" customWidth="1"/>
    <col min="6403" max="6403" width="10.25" customWidth="1"/>
    <col min="6404" max="6404" width="13" customWidth="1"/>
    <col min="6405" max="6405" width="17.875" customWidth="1"/>
    <col min="6406" max="6406" width="28.125" customWidth="1"/>
    <col min="6658" max="6658" width="19.25" customWidth="1"/>
    <col min="6659" max="6659" width="10.25" customWidth="1"/>
    <col min="6660" max="6660" width="13" customWidth="1"/>
    <col min="6661" max="6661" width="17.875" customWidth="1"/>
    <col min="6662" max="6662" width="28.125" customWidth="1"/>
    <col min="6914" max="6914" width="19.25" customWidth="1"/>
    <col min="6915" max="6915" width="10.25" customWidth="1"/>
    <col min="6916" max="6916" width="13" customWidth="1"/>
    <col min="6917" max="6917" width="17.875" customWidth="1"/>
    <col min="6918" max="6918" width="28.125" customWidth="1"/>
    <col min="7170" max="7170" width="19.25" customWidth="1"/>
    <col min="7171" max="7171" width="10.25" customWidth="1"/>
    <col min="7172" max="7172" width="13" customWidth="1"/>
    <col min="7173" max="7173" width="17.875" customWidth="1"/>
    <col min="7174" max="7174" width="28.125" customWidth="1"/>
    <col min="7426" max="7426" width="19.25" customWidth="1"/>
    <col min="7427" max="7427" width="10.25" customWidth="1"/>
    <col min="7428" max="7428" width="13" customWidth="1"/>
    <col min="7429" max="7429" width="17.875" customWidth="1"/>
    <col min="7430" max="7430" width="28.125" customWidth="1"/>
    <col min="7682" max="7682" width="19.25" customWidth="1"/>
    <col min="7683" max="7683" width="10.25" customWidth="1"/>
    <col min="7684" max="7684" width="13" customWidth="1"/>
    <col min="7685" max="7685" width="17.875" customWidth="1"/>
    <col min="7686" max="7686" width="28.125" customWidth="1"/>
    <col min="7938" max="7938" width="19.25" customWidth="1"/>
    <col min="7939" max="7939" width="10.25" customWidth="1"/>
    <col min="7940" max="7940" width="13" customWidth="1"/>
    <col min="7941" max="7941" width="17.875" customWidth="1"/>
    <col min="7942" max="7942" width="28.125" customWidth="1"/>
    <col min="8194" max="8194" width="19.25" customWidth="1"/>
    <col min="8195" max="8195" width="10.25" customWidth="1"/>
    <col min="8196" max="8196" width="13" customWidth="1"/>
    <col min="8197" max="8197" width="17.875" customWidth="1"/>
    <col min="8198" max="8198" width="28.125" customWidth="1"/>
    <col min="8450" max="8450" width="19.25" customWidth="1"/>
    <col min="8451" max="8451" width="10.25" customWidth="1"/>
    <col min="8452" max="8452" width="13" customWidth="1"/>
    <col min="8453" max="8453" width="17.875" customWidth="1"/>
    <col min="8454" max="8454" width="28.125" customWidth="1"/>
    <col min="8706" max="8706" width="19.25" customWidth="1"/>
    <col min="8707" max="8707" width="10.25" customWidth="1"/>
    <col min="8708" max="8708" width="13" customWidth="1"/>
    <col min="8709" max="8709" width="17.875" customWidth="1"/>
    <col min="8710" max="8710" width="28.125" customWidth="1"/>
    <col min="8962" max="8962" width="19.25" customWidth="1"/>
    <col min="8963" max="8963" width="10.25" customWidth="1"/>
    <col min="8964" max="8964" width="13" customWidth="1"/>
    <col min="8965" max="8965" width="17.875" customWidth="1"/>
    <col min="8966" max="8966" width="28.125" customWidth="1"/>
    <col min="9218" max="9218" width="19.25" customWidth="1"/>
    <col min="9219" max="9219" width="10.25" customWidth="1"/>
    <col min="9220" max="9220" width="13" customWidth="1"/>
    <col min="9221" max="9221" width="17.875" customWidth="1"/>
    <col min="9222" max="9222" width="28.125" customWidth="1"/>
    <col min="9474" max="9474" width="19.25" customWidth="1"/>
    <col min="9475" max="9475" width="10.25" customWidth="1"/>
    <col min="9476" max="9476" width="13" customWidth="1"/>
    <col min="9477" max="9477" width="17.875" customWidth="1"/>
    <col min="9478" max="9478" width="28.125" customWidth="1"/>
    <col min="9730" max="9730" width="19.25" customWidth="1"/>
    <col min="9731" max="9731" width="10.25" customWidth="1"/>
    <col min="9732" max="9732" width="13" customWidth="1"/>
    <col min="9733" max="9733" width="17.875" customWidth="1"/>
    <col min="9734" max="9734" width="28.125" customWidth="1"/>
    <col min="9986" max="9986" width="19.25" customWidth="1"/>
    <col min="9987" max="9987" width="10.25" customWidth="1"/>
    <col min="9988" max="9988" width="13" customWidth="1"/>
    <col min="9989" max="9989" width="17.875" customWidth="1"/>
    <col min="9990" max="9990" width="28.125" customWidth="1"/>
    <col min="10242" max="10242" width="19.25" customWidth="1"/>
    <col min="10243" max="10243" width="10.25" customWidth="1"/>
    <col min="10244" max="10244" width="13" customWidth="1"/>
    <col min="10245" max="10245" width="17.875" customWidth="1"/>
    <col min="10246" max="10246" width="28.125" customWidth="1"/>
    <col min="10498" max="10498" width="19.25" customWidth="1"/>
    <col min="10499" max="10499" width="10.25" customWidth="1"/>
    <col min="10500" max="10500" width="13" customWidth="1"/>
    <col min="10501" max="10501" width="17.875" customWidth="1"/>
    <col min="10502" max="10502" width="28.125" customWidth="1"/>
    <col min="10754" max="10754" width="19.25" customWidth="1"/>
    <col min="10755" max="10755" width="10.25" customWidth="1"/>
    <col min="10756" max="10756" width="13" customWidth="1"/>
    <col min="10757" max="10757" width="17.875" customWidth="1"/>
    <col min="10758" max="10758" width="28.125" customWidth="1"/>
    <col min="11010" max="11010" width="19.25" customWidth="1"/>
    <col min="11011" max="11011" width="10.25" customWidth="1"/>
    <col min="11012" max="11012" width="13" customWidth="1"/>
    <col min="11013" max="11013" width="17.875" customWidth="1"/>
    <col min="11014" max="11014" width="28.125" customWidth="1"/>
    <col min="11266" max="11266" width="19.25" customWidth="1"/>
    <col min="11267" max="11267" width="10.25" customWidth="1"/>
    <col min="11268" max="11268" width="13" customWidth="1"/>
    <col min="11269" max="11269" width="17.875" customWidth="1"/>
    <col min="11270" max="11270" width="28.125" customWidth="1"/>
    <col min="11522" max="11522" width="19.25" customWidth="1"/>
    <col min="11523" max="11523" width="10.25" customWidth="1"/>
    <col min="11524" max="11524" width="13" customWidth="1"/>
    <col min="11525" max="11525" width="17.875" customWidth="1"/>
    <col min="11526" max="11526" width="28.125" customWidth="1"/>
    <col min="11778" max="11778" width="19.25" customWidth="1"/>
    <col min="11779" max="11779" width="10.25" customWidth="1"/>
    <col min="11780" max="11780" width="13" customWidth="1"/>
    <col min="11781" max="11781" width="17.875" customWidth="1"/>
    <col min="11782" max="11782" width="28.125" customWidth="1"/>
    <col min="12034" max="12034" width="19.25" customWidth="1"/>
    <col min="12035" max="12035" width="10.25" customWidth="1"/>
    <col min="12036" max="12036" width="13" customWidth="1"/>
    <col min="12037" max="12037" width="17.875" customWidth="1"/>
    <col min="12038" max="12038" width="28.125" customWidth="1"/>
    <col min="12290" max="12290" width="19.25" customWidth="1"/>
    <col min="12291" max="12291" width="10.25" customWidth="1"/>
    <col min="12292" max="12292" width="13" customWidth="1"/>
    <col min="12293" max="12293" width="17.875" customWidth="1"/>
    <col min="12294" max="12294" width="28.125" customWidth="1"/>
    <col min="12546" max="12546" width="19.25" customWidth="1"/>
    <col min="12547" max="12547" width="10.25" customWidth="1"/>
    <col min="12548" max="12548" width="13" customWidth="1"/>
    <col min="12549" max="12549" width="17.875" customWidth="1"/>
    <col min="12550" max="12550" width="28.125" customWidth="1"/>
    <col min="12802" max="12802" width="19.25" customWidth="1"/>
    <col min="12803" max="12803" width="10.25" customWidth="1"/>
    <col min="12804" max="12804" width="13" customWidth="1"/>
    <col min="12805" max="12805" width="17.875" customWidth="1"/>
    <col min="12806" max="12806" width="28.125" customWidth="1"/>
    <col min="13058" max="13058" width="19.25" customWidth="1"/>
    <col min="13059" max="13059" width="10.25" customWidth="1"/>
    <col min="13060" max="13060" width="13" customWidth="1"/>
    <col min="13061" max="13061" width="17.875" customWidth="1"/>
    <col min="13062" max="13062" width="28.125" customWidth="1"/>
    <col min="13314" max="13314" width="19.25" customWidth="1"/>
    <col min="13315" max="13315" width="10.25" customWidth="1"/>
    <col min="13316" max="13316" width="13" customWidth="1"/>
    <col min="13317" max="13317" width="17.875" customWidth="1"/>
    <col min="13318" max="13318" width="28.125" customWidth="1"/>
    <col min="13570" max="13570" width="19.25" customWidth="1"/>
    <col min="13571" max="13571" width="10.25" customWidth="1"/>
    <col min="13572" max="13572" width="13" customWidth="1"/>
    <col min="13573" max="13573" width="17.875" customWidth="1"/>
    <col min="13574" max="13574" width="28.125" customWidth="1"/>
    <col min="13826" max="13826" width="19.25" customWidth="1"/>
    <col min="13827" max="13827" width="10.25" customWidth="1"/>
    <col min="13828" max="13828" width="13" customWidth="1"/>
    <col min="13829" max="13829" width="17.875" customWidth="1"/>
    <col min="13830" max="13830" width="28.125" customWidth="1"/>
    <col min="14082" max="14082" width="19.25" customWidth="1"/>
    <col min="14083" max="14083" width="10.25" customWidth="1"/>
    <col min="14084" max="14084" width="13" customWidth="1"/>
    <col min="14085" max="14085" width="17.875" customWidth="1"/>
    <col min="14086" max="14086" width="28.125" customWidth="1"/>
    <col min="14338" max="14338" width="19.25" customWidth="1"/>
    <col min="14339" max="14339" width="10.25" customWidth="1"/>
    <col min="14340" max="14340" width="13" customWidth="1"/>
    <col min="14341" max="14341" width="17.875" customWidth="1"/>
    <col min="14342" max="14342" width="28.125" customWidth="1"/>
    <col min="14594" max="14594" width="19.25" customWidth="1"/>
    <col min="14595" max="14595" width="10.25" customWidth="1"/>
    <col min="14596" max="14596" width="13" customWidth="1"/>
    <col min="14597" max="14597" width="17.875" customWidth="1"/>
    <col min="14598" max="14598" width="28.125" customWidth="1"/>
    <col min="14850" max="14850" width="19.25" customWidth="1"/>
    <col min="14851" max="14851" width="10.25" customWidth="1"/>
    <col min="14852" max="14852" width="13" customWidth="1"/>
    <col min="14853" max="14853" width="17.875" customWidth="1"/>
    <col min="14854" max="14854" width="28.125" customWidth="1"/>
    <col min="15106" max="15106" width="19.25" customWidth="1"/>
    <col min="15107" max="15107" width="10.25" customWidth="1"/>
    <col min="15108" max="15108" width="13" customWidth="1"/>
    <col min="15109" max="15109" width="17.875" customWidth="1"/>
    <col min="15110" max="15110" width="28.125" customWidth="1"/>
    <col min="15362" max="15362" width="19.25" customWidth="1"/>
    <col min="15363" max="15363" width="10.25" customWidth="1"/>
    <col min="15364" max="15364" width="13" customWidth="1"/>
    <col min="15365" max="15365" width="17.875" customWidth="1"/>
    <col min="15366" max="15366" width="28.125" customWidth="1"/>
    <col min="15618" max="15618" width="19.25" customWidth="1"/>
    <col min="15619" max="15619" width="10.25" customWidth="1"/>
    <col min="15620" max="15620" width="13" customWidth="1"/>
    <col min="15621" max="15621" width="17.875" customWidth="1"/>
    <col min="15622" max="15622" width="28.125" customWidth="1"/>
    <col min="15874" max="15874" width="19.25" customWidth="1"/>
    <col min="15875" max="15875" width="10.25" customWidth="1"/>
    <col min="15876" max="15876" width="13" customWidth="1"/>
    <col min="15877" max="15877" width="17.875" customWidth="1"/>
    <col min="15878" max="15878" width="28.125" customWidth="1"/>
    <col min="16130" max="16130" width="19.25" customWidth="1"/>
    <col min="16131" max="16131" width="10.25" customWidth="1"/>
    <col min="16132" max="16132" width="13" customWidth="1"/>
    <col min="16133" max="16133" width="17.875" customWidth="1"/>
    <col min="16134" max="16134" width="28.125" customWidth="1"/>
  </cols>
  <sheetData>
    <row r="1" spans="1:6" ht="27.75" customHeight="1">
      <c r="A1" t="s">
        <v>964</v>
      </c>
      <c r="F1" s="376" t="s">
        <v>839</v>
      </c>
    </row>
    <row r="2" spans="1:6" ht="27.75" customHeight="1"/>
    <row r="3" spans="1:6" ht="27.75" customHeight="1">
      <c r="A3" s="485" t="s">
        <v>965</v>
      </c>
      <c r="B3" s="488" t="s">
        <v>817</v>
      </c>
      <c r="C3" s="488" t="s">
        <v>818</v>
      </c>
      <c r="D3" s="488" t="s">
        <v>413</v>
      </c>
      <c r="E3" s="488" t="s">
        <v>392</v>
      </c>
      <c r="F3" s="490" t="s">
        <v>819</v>
      </c>
    </row>
    <row r="4" spans="1:6" ht="27.75" customHeight="1">
      <c r="A4" s="486"/>
      <c r="B4" s="2"/>
      <c r="C4" s="2"/>
      <c r="D4" s="2"/>
      <c r="E4" s="2"/>
      <c r="F4" s="491"/>
    </row>
    <row r="5" spans="1:6" ht="27.75" customHeight="1">
      <c r="A5" s="486"/>
      <c r="B5" s="2"/>
      <c r="C5" s="2"/>
      <c r="D5" s="2"/>
      <c r="E5" s="2"/>
      <c r="F5" s="491"/>
    </row>
    <row r="6" spans="1:6" ht="27.75" customHeight="1">
      <c r="A6" s="486"/>
      <c r="B6" s="2"/>
      <c r="C6" s="2"/>
      <c r="D6" s="2"/>
      <c r="E6" s="2"/>
      <c r="F6" s="491"/>
    </row>
    <row r="7" spans="1:6" ht="27.75" customHeight="1">
      <c r="A7" s="486"/>
      <c r="B7" s="2"/>
      <c r="C7" s="2"/>
      <c r="D7" s="2"/>
      <c r="E7" s="2"/>
      <c r="F7" s="491"/>
    </row>
    <row r="8" spans="1:6" ht="27.75" customHeight="1">
      <c r="A8" s="486"/>
      <c r="B8" s="2"/>
      <c r="C8" s="2"/>
      <c r="D8" s="2"/>
      <c r="E8" s="2"/>
      <c r="F8" s="491"/>
    </row>
    <row r="9" spans="1:6" ht="27.75" customHeight="1">
      <c r="A9" s="486"/>
      <c r="B9" s="2"/>
      <c r="C9" s="2"/>
      <c r="D9" s="2"/>
      <c r="E9" s="2"/>
      <c r="F9" s="491"/>
    </row>
    <row r="10" spans="1:6" ht="27.75" customHeight="1">
      <c r="A10" s="486"/>
      <c r="B10" s="2"/>
      <c r="C10" s="2"/>
      <c r="D10" s="2"/>
      <c r="E10" s="2"/>
      <c r="F10" s="491"/>
    </row>
    <row r="11" spans="1:6" ht="27.75" customHeight="1">
      <c r="A11" s="487"/>
      <c r="B11" s="489"/>
      <c r="C11" s="489"/>
      <c r="D11" s="489"/>
      <c r="E11" s="489"/>
      <c r="F11" s="492"/>
    </row>
    <row r="12" spans="1:6" ht="15.75" customHeight="1">
      <c r="B12" t="s">
        <v>76</v>
      </c>
    </row>
    <row r="13" spans="1:6" ht="15.75" customHeight="1">
      <c r="B13" t="s">
        <v>660</v>
      </c>
    </row>
    <row r="14" spans="1:6" ht="23.25" customHeight="1">
      <c r="B14" s="484" t="s">
        <v>966</v>
      </c>
      <c r="C14" s="484"/>
      <c r="D14" s="484"/>
      <c r="E14" s="484"/>
      <c r="F14" s="484"/>
    </row>
    <row r="15" spans="1:6" ht="23.25" customHeight="1">
      <c r="B15" s="484"/>
      <c r="C15" s="484"/>
      <c r="D15" s="484"/>
      <c r="E15" s="484"/>
      <c r="F15" s="484"/>
    </row>
    <row r="16" spans="1:6" ht="23.25" customHeight="1">
      <c r="B16" s="473" t="s">
        <v>821</v>
      </c>
    </row>
  </sheetData>
  <mergeCells count="1">
    <mergeCell ref="B14:F15"/>
  </mergeCells>
  <phoneticPr fontId="1"/>
  <pageMargins left="0.7" right="0.7" top="0.75" bottom="0.75" header="0.3" footer="0.3"/>
  <pageSetup paperSize="9" scale="91" fitToWidth="1" fitToHeight="1" orientation="portrait" usePrinterDefaults="1"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35"/>
  <sheetViews>
    <sheetView showGridLines="0" view="pageBreakPreview" topLeftCell="A5" zoomScale="130" zoomScaleNormal="118" zoomScaleSheetLayoutView="130" workbookViewId="0">
      <selection activeCell="A2" sqref="A2:A9"/>
    </sheetView>
  </sheetViews>
  <sheetFormatPr defaultRowHeight="13.5"/>
  <cols>
    <col min="1" max="1" width="80.875" customWidth="1"/>
    <col min="2" max="3" width="9.375" customWidth="1"/>
  </cols>
  <sheetData>
    <row r="1" spans="1:11" ht="24" customHeight="1">
      <c r="A1" s="44" t="s">
        <v>61</v>
      </c>
    </row>
    <row r="2" spans="1:11" ht="21" customHeight="1">
      <c r="A2" s="45" t="s">
        <v>44</v>
      </c>
    </row>
    <row r="3" spans="1:11" ht="16.5" customHeight="1">
      <c r="A3" s="46" t="s">
        <v>149</v>
      </c>
    </row>
    <row r="4" spans="1:11" ht="138.75" customHeight="1">
      <c r="A4" s="47" t="s">
        <v>166</v>
      </c>
    </row>
    <row r="5" spans="1:11" s="43" customFormat="1" ht="16.5" customHeight="1">
      <c r="A5" s="46" t="s">
        <v>152</v>
      </c>
    </row>
    <row r="6" spans="1:11" ht="138.75" customHeight="1">
      <c r="A6" s="47" t="s">
        <v>79</v>
      </c>
    </row>
    <row r="7" spans="1:11" ht="16.5" customHeight="1">
      <c r="A7" s="48" t="s">
        <v>50</v>
      </c>
    </row>
    <row r="8" spans="1:11" ht="138.75" customHeight="1">
      <c r="A8" s="47" t="s">
        <v>664</v>
      </c>
    </row>
    <row r="9" spans="1:11" ht="19.5" customHeight="1">
      <c r="A9" s="49" t="s">
        <v>705</v>
      </c>
    </row>
    <row r="15" spans="1:11">
      <c r="A15" s="13"/>
      <c r="B15" s="13"/>
      <c r="C15" s="13"/>
      <c r="D15" s="13"/>
      <c r="E15" s="13"/>
      <c r="F15" s="13"/>
      <c r="G15" s="13"/>
      <c r="H15" s="13"/>
      <c r="I15" s="13"/>
      <c r="J15" s="13"/>
      <c r="K15" s="13"/>
    </row>
    <row r="16" spans="1:11">
      <c r="A16" s="13"/>
      <c r="B16" s="13"/>
      <c r="C16" s="13"/>
      <c r="D16" s="13"/>
      <c r="E16" s="13"/>
      <c r="F16" s="13"/>
      <c r="G16" s="13"/>
      <c r="H16" s="13"/>
      <c r="I16" s="13"/>
      <c r="J16" s="13"/>
      <c r="K16" s="13"/>
    </row>
    <row r="17" spans="1:11">
      <c r="A17" s="13"/>
      <c r="B17" s="13"/>
      <c r="C17" s="13"/>
      <c r="D17" s="13"/>
      <c r="E17" s="13"/>
      <c r="F17" s="13"/>
      <c r="G17" s="13"/>
      <c r="H17" s="13"/>
      <c r="I17" s="13"/>
      <c r="J17" s="13"/>
      <c r="K17" s="13"/>
    </row>
    <row r="18" spans="1:11">
      <c r="A18" s="13"/>
      <c r="B18" s="13"/>
      <c r="C18" s="13"/>
      <c r="D18" s="13"/>
      <c r="E18" s="13"/>
      <c r="F18" s="13"/>
      <c r="G18" s="13"/>
      <c r="H18" s="13"/>
      <c r="I18" s="13"/>
      <c r="J18" s="13"/>
      <c r="K18" s="13"/>
    </row>
    <row r="19" spans="1:11">
      <c r="A19" s="13"/>
      <c r="B19" s="13"/>
      <c r="C19" s="13"/>
      <c r="D19" s="13"/>
      <c r="E19" s="13"/>
      <c r="F19" s="13"/>
      <c r="G19" s="13"/>
      <c r="H19" s="13"/>
      <c r="I19" s="13"/>
      <c r="J19" s="13"/>
      <c r="K19" s="13"/>
    </row>
    <row r="20" spans="1:11">
      <c r="A20" s="13"/>
      <c r="B20" s="13"/>
      <c r="C20" s="13"/>
      <c r="D20" s="13"/>
      <c r="E20" s="13"/>
      <c r="F20" s="13"/>
      <c r="G20" s="13"/>
      <c r="H20" s="13"/>
      <c r="I20" s="13"/>
      <c r="J20" s="13"/>
      <c r="K20" s="13"/>
    </row>
    <row r="21" spans="1:11">
      <c r="A21" s="13"/>
      <c r="B21" s="13"/>
      <c r="C21" s="13"/>
      <c r="D21" s="13"/>
      <c r="E21" s="13"/>
      <c r="F21" s="13"/>
      <c r="G21" s="13"/>
      <c r="H21" s="13"/>
      <c r="I21" s="13"/>
      <c r="J21" s="13"/>
      <c r="K21" s="13"/>
    </row>
    <row r="22" spans="1:11">
      <c r="A22" s="13"/>
      <c r="B22" s="13"/>
      <c r="C22" s="13"/>
      <c r="D22" s="13"/>
      <c r="E22" s="13"/>
      <c r="F22" s="13"/>
      <c r="G22" s="13"/>
      <c r="H22" s="13"/>
      <c r="I22" s="13"/>
      <c r="J22" s="13"/>
      <c r="K22" s="13"/>
    </row>
    <row r="23" spans="1:11">
      <c r="A23" s="13"/>
      <c r="B23" s="13"/>
      <c r="C23" s="13"/>
      <c r="D23" s="13"/>
      <c r="E23" s="13"/>
      <c r="F23" s="13"/>
      <c r="G23" s="13"/>
      <c r="H23" s="13"/>
      <c r="I23" s="13"/>
      <c r="J23" s="13"/>
      <c r="K23" s="13"/>
    </row>
    <row r="24" spans="1:11">
      <c r="A24" s="13"/>
      <c r="B24" s="13"/>
      <c r="C24" s="13"/>
      <c r="D24" s="13"/>
      <c r="E24" s="13"/>
      <c r="F24" s="13"/>
      <c r="G24" s="13"/>
      <c r="H24" s="13"/>
      <c r="I24" s="13"/>
      <c r="J24" s="13"/>
      <c r="K24" s="13"/>
    </row>
    <row r="25" spans="1:11">
      <c r="A25" s="13"/>
      <c r="B25" s="13"/>
      <c r="C25" s="13"/>
      <c r="D25" s="13"/>
      <c r="E25" s="13"/>
      <c r="F25" s="13"/>
      <c r="G25" s="13"/>
      <c r="H25" s="13"/>
      <c r="I25" s="13"/>
      <c r="J25" s="13"/>
      <c r="K25" s="13"/>
    </row>
    <row r="26" spans="1:11">
      <c r="A26" s="13"/>
      <c r="B26" s="13"/>
      <c r="C26" s="13"/>
      <c r="D26" s="13"/>
      <c r="E26" s="13"/>
      <c r="F26" s="13"/>
      <c r="G26" s="13"/>
      <c r="H26" s="13"/>
      <c r="I26" s="13"/>
      <c r="J26" s="13"/>
      <c r="K26" s="13"/>
    </row>
    <row r="27" spans="1:11">
      <c r="A27" s="13"/>
      <c r="B27" s="13"/>
      <c r="C27" s="13"/>
      <c r="D27" s="13"/>
      <c r="E27" s="13"/>
      <c r="F27" s="13"/>
      <c r="G27" s="13"/>
      <c r="H27" s="13"/>
      <c r="I27" s="13"/>
      <c r="J27" s="13"/>
      <c r="K27" s="13"/>
    </row>
    <row r="28" spans="1:11">
      <c r="A28" s="13"/>
      <c r="B28" s="13"/>
      <c r="C28" s="13"/>
      <c r="D28" s="13"/>
      <c r="E28" s="13"/>
      <c r="F28" s="13"/>
      <c r="G28" s="13"/>
      <c r="H28" s="13"/>
      <c r="I28" s="13"/>
      <c r="J28" s="13"/>
      <c r="K28" s="13"/>
    </row>
    <row r="29" spans="1:11">
      <c r="A29" s="13"/>
      <c r="B29" s="13"/>
      <c r="C29" s="13"/>
      <c r="D29" s="13"/>
      <c r="E29" s="13"/>
      <c r="F29" s="13"/>
      <c r="G29" s="13"/>
      <c r="H29" s="13"/>
      <c r="I29" s="13"/>
      <c r="J29" s="13"/>
      <c r="K29" s="13"/>
    </row>
    <row r="30" spans="1:11">
      <c r="A30" s="13"/>
      <c r="B30" s="13"/>
      <c r="C30" s="13"/>
      <c r="D30" s="13"/>
      <c r="E30" s="13"/>
      <c r="F30" s="13"/>
      <c r="G30" s="13"/>
      <c r="H30" s="13"/>
      <c r="I30" s="13"/>
      <c r="J30" s="13"/>
      <c r="K30" s="13"/>
    </row>
    <row r="31" spans="1:11">
      <c r="A31" s="13"/>
      <c r="B31" s="13"/>
      <c r="C31" s="13"/>
      <c r="D31" s="13"/>
      <c r="E31" s="13"/>
      <c r="F31" s="13"/>
      <c r="G31" s="13"/>
      <c r="H31" s="13"/>
      <c r="I31" s="13"/>
      <c r="J31" s="13"/>
      <c r="K31" s="13"/>
    </row>
    <row r="32" spans="1:11">
      <c r="A32" s="13"/>
      <c r="B32" s="13"/>
      <c r="C32" s="13"/>
      <c r="D32" s="13"/>
      <c r="E32" s="13"/>
      <c r="F32" s="13"/>
      <c r="G32" s="13"/>
      <c r="H32" s="13"/>
      <c r="I32" s="13"/>
      <c r="J32" s="13"/>
      <c r="K32" s="13"/>
    </row>
    <row r="33" spans="1:11">
      <c r="A33" s="13"/>
      <c r="B33" s="13"/>
      <c r="C33" s="13"/>
      <c r="D33" s="13"/>
      <c r="E33" s="13"/>
      <c r="F33" s="13"/>
      <c r="G33" s="13"/>
      <c r="H33" s="13"/>
      <c r="I33" s="13"/>
      <c r="J33" s="13"/>
      <c r="K33" s="13"/>
    </row>
    <row r="34" spans="1:11">
      <c r="A34" s="13"/>
      <c r="B34" s="13"/>
      <c r="C34" s="13"/>
      <c r="D34" s="13"/>
      <c r="E34" s="13"/>
      <c r="F34" s="13"/>
      <c r="G34" s="13"/>
      <c r="H34" s="13"/>
      <c r="I34" s="13"/>
      <c r="J34" s="13"/>
      <c r="K34" s="13"/>
    </row>
    <row r="35" spans="1:11">
      <c r="A35" s="13"/>
      <c r="B35" s="13"/>
      <c r="C35" s="13"/>
      <c r="D35" s="13"/>
      <c r="E35" s="13"/>
      <c r="F35" s="13"/>
      <c r="G35" s="13"/>
      <c r="H35" s="13"/>
      <c r="I35" s="13"/>
      <c r="J35" s="13"/>
      <c r="K35" s="13"/>
    </row>
  </sheetData>
  <phoneticPr fontId="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rgb="FFD4F3B5"/>
  </sheetPr>
  <dimension ref="A1:C24"/>
  <sheetViews>
    <sheetView view="pageBreakPreview" zoomScale="60" workbookViewId="0">
      <selection activeCell="AC55" sqref="AC55"/>
    </sheetView>
  </sheetViews>
  <sheetFormatPr defaultRowHeight="13.5"/>
  <cols>
    <col min="1" max="1" width="19.375" customWidth="1"/>
    <col min="2" max="2" width="32.625" customWidth="1"/>
    <col min="3" max="3" width="33.125" customWidth="1"/>
    <col min="257" max="257" width="19.375" customWidth="1"/>
    <col min="258" max="258" width="32.625" customWidth="1"/>
    <col min="259" max="259" width="33.125" customWidth="1"/>
    <col min="513" max="513" width="19.375" customWidth="1"/>
    <col min="514" max="514" width="32.625" customWidth="1"/>
    <col min="515" max="515" width="33.125" customWidth="1"/>
    <col min="769" max="769" width="19.375" customWidth="1"/>
    <col min="770" max="770" width="32.625" customWidth="1"/>
    <col min="771" max="771" width="33.125" customWidth="1"/>
    <col min="1025" max="1025" width="19.375" customWidth="1"/>
    <col min="1026" max="1026" width="32.625" customWidth="1"/>
    <col min="1027" max="1027" width="33.125" customWidth="1"/>
    <col min="1281" max="1281" width="19.375" customWidth="1"/>
    <col min="1282" max="1282" width="32.625" customWidth="1"/>
    <col min="1283" max="1283" width="33.125" customWidth="1"/>
    <col min="1537" max="1537" width="19.375" customWidth="1"/>
    <col min="1538" max="1538" width="32.625" customWidth="1"/>
    <col min="1539" max="1539" width="33.125" customWidth="1"/>
    <col min="1793" max="1793" width="19.375" customWidth="1"/>
    <col min="1794" max="1794" width="32.625" customWidth="1"/>
    <col min="1795" max="1795" width="33.125" customWidth="1"/>
    <col min="2049" max="2049" width="19.375" customWidth="1"/>
    <col min="2050" max="2050" width="32.625" customWidth="1"/>
    <col min="2051" max="2051" width="33.125" customWidth="1"/>
    <col min="2305" max="2305" width="19.375" customWidth="1"/>
    <col min="2306" max="2306" width="32.625" customWidth="1"/>
    <col min="2307" max="2307" width="33.125" customWidth="1"/>
    <col min="2561" max="2561" width="19.375" customWidth="1"/>
    <col min="2562" max="2562" width="32.625" customWidth="1"/>
    <col min="2563" max="2563" width="33.125" customWidth="1"/>
    <col min="2817" max="2817" width="19.375" customWidth="1"/>
    <col min="2818" max="2818" width="32.625" customWidth="1"/>
    <col min="2819" max="2819" width="33.125" customWidth="1"/>
    <col min="3073" max="3073" width="19.375" customWidth="1"/>
    <col min="3074" max="3074" width="32.625" customWidth="1"/>
    <col min="3075" max="3075" width="33.125" customWidth="1"/>
    <col min="3329" max="3329" width="19.375" customWidth="1"/>
    <col min="3330" max="3330" width="32.625" customWidth="1"/>
    <col min="3331" max="3331" width="33.125" customWidth="1"/>
    <col min="3585" max="3585" width="19.375" customWidth="1"/>
    <col min="3586" max="3586" width="32.625" customWidth="1"/>
    <col min="3587" max="3587" width="33.125" customWidth="1"/>
    <col min="3841" max="3841" width="19.375" customWidth="1"/>
    <col min="3842" max="3842" width="32.625" customWidth="1"/>
    <col min="3843" max="3843" width="33.125" customWidth="1"/>
    <col min="4097" max="4097" width="19.375" customWidth="1"/>
    <col min="4098" max="4098" width="32.625" customWidth="1"/>
    <col min="4099" max="4099" width="33.125" customWidth="1"/>
    <col min="4353" max="4353" width="19.375" customWidth="1"/>
    <col min="4354" max="4354" width="32.625" customWidth="1"/>
    <col min="4355" max="4355" width="33.125" customWidth="1"/>
    <col min="4609" max="4609" width="19.375" customWidth="1"/>
    <col min="4610" max="4610" width="32.625" customWidth="1"/>
    <col min="4611" max="4611" width="33.125" customWidth="1"/>
    <col min="4865" max="4865" width="19.375" customWidth="1"/>
    <col min="4866" max="4866" width="32.625" customWidth="1"/>
    <col min="4867" max="4867" width="33.125" customWidth="1"/>
    <col min="5121" max="5121" width="19.375" customWidth="1"/>
    <col min="5122" max="5122" width="32.625" customWidth="1"/>
    <col min="5123" max="5123" width="33.125" customWidth="1"/>
    <col min="5377" max="5377" width="19.375" customWidth="1"/>
    <col min="5378" max="5378" width="32.625" customWidth="1"/>
    <col min="5379" max="5379" width="33.125" customWidth="1"/>
    <col min="5633" max="5633" width="19.375" customWidth="1"/>
    <col min="5634" max="5634" width="32.625" customWidth="1"/>
    <col min="5635" max="5635" width="33.125" customWidth="1"/>
    <col min="5889" max="5889" width="19.375" customWidth="1"/>
    <col min="5890" max="5890" width="32.625" customWidth="1"/>
    <col min="5891" max="5891" width="33.125" customWidth="1"/>
    <col min="6145" max="6145" width="19.375" customWidth="1"/>
    <col min="6146" max="6146" width="32.625" customWidth="1"/>
    <col min="6147" max="6147" width="33.125" customWidth="1"/>
    <col min="6401" max="6401" width="19.375" customWidth="1"/>
    <col min="6402" max="6402" width="32.625" customWidth="1"/>
    <col min="6403" max="6403" width="33.125" customWidth="1"/>
    <col min="6657" max="6657" width="19.375" customWidth="1"/>
    <col min="6658" max="6658" width="32.625" customWidth="1"/>
    <col min="6659" max="6659" width="33.125" customWidth="1"/>
    <col min="6913" max="6913" width="19.375" customWidth="1"/>
    <col min="6914" max="6914" width="32.625" customWidth="1"/>
    <col min="6915" max="6915" width="33.125" customWidth="1"/>
    <col min="7169" max="7169" width="19.375" customWidth="1"/>
    <col min="7170" max="7170" width="32.625" customWidth="1"/>
    <col min="7171" max="7171" width="33.125" customWidth="1"/>
    <col min="7425" max="7425" width="19.375" customWidth="1"/>
    <col min="7426" max="7426" width="32.625" customWidth="1"/>
    <col min="7427" max="7427" width="33.125" customWidth="1"/>
    <col min="7681" max="7681" width="19.375" customWidth="1"/>
    <col min="7682" max="7682" width="32.625" customWidth="1"/>
    <col min="7683" max="7683" width="33.125" customWidth="1"/>
    <col min="7937" max="7937" width="19.375" customWidth="1"/>
    <col min="7938" max="7938" width="32.625" customWidth="1"/>
    <col min="7939" max="7939" width="33.125" customWidth="1"/>
    <col min="8193" max="8193" width="19.375" customWidth="1"/>
    <col min="8194" max="8194" width="32.625" customWidth="1"/>
    <col min="8195" max="8195" width="33.125" customWidth="1"/>
    <col min="8449" max="8449" width="19.375" customWidth="1"/>
    <col min="8450" max="8450" width="32.625" customWidth="1"/>
    <col min="8451" max="8451" width="33.125" customWidth="1"/>
    <col min="8705" max="8705" width="19.375" customWidth="1"/>
    <col min="8706" max="8706" width="32.625" customWidth="1"/>
    <col min="8707" max="8707" width="33.125" customWidth="1"/>
    <col min="8961" max="8961" width="19.375" customWidth="1"/>
    <col min="8962" max="8962" width="32.625" customWidth="1"/>
    <col min="8963" max="8963" width="33.125" customWidth="1"/>
    <col min="9217" max="9217" width="19.375" customWidth="1"/>
    <col min="9218" max="9218" width="32.625" customWidth="1"/>
    <col min="9219" max="9219" width="33.125" customWidth="1"/>
    <col min="9473" max="9473" width="19.375" customWidth="1"/>
    <col min="9474" max="9474" width="32.625" customWidth="1"/>
    <col min="9475" max="9475" width="33.125" customWidth="1"/>
    <col min="9729" max="9729" width="19.375" customWidth="1"/>
    <col min="9730" max="9730" width="32.625" customWidth="1"/>
    <col min="9731" max="9731" width="33.125" customWidth="1"/>
    <col min="9985" max="9985" width="19.375" customWidth="1"/>
    <col min="9986" max="9986" width="32.625" customWidth="1"/>
    <col min="9987" max="9987" width="33.125" customWidth="1"/>
    <col min="10241" max="10241" width="19.375" customWidth="1"/>
    <col min="10242" max="10242" width="32.625" customWidth="1"/>
    <col min="10243" max="10243" width="33.125" customWidth="1"/>
    <col min="10497" max="10497" width="19.375" customWidth="1"/>
    <col min="10498" max="10498" width="32.625" customWidth="1"/>
    <col min="10499" max="10499" width="33.125" customWidth="1"/>
    <col min="10753" max="10753" width="19.375" customWidth="1"/>
    <col min="10754" max="10754" width="32.625" customWidth="1"/>
    <col min="10755" max="10755" width="33.125" customWidth="1"/>
    <col min="11009" max="11009" width="19.375" customWidth="1"/>
    <col min="11010" max="11010" width="32.625" customWidth="1"/>
    <col min="11011" max="11011" width="33.125" customWidth="1"/>
    <col min="11265" max="11265" width="19.375" customWidth="1"/>
    <col min="11266" max="11266" width="32.625" customWidth="1"/>
    <col min="11267" max="11267" width="33.125" customWidth="1"/>
    <col min="11521" max="11521" width="19.375" customWidth="1"/>
    <col min="11522" max="11522" width="32.625" customWidth="1"/>
    <col min="11523" max="11523" width="33.125" customWidth="1"/>
    <col min="11777" max="11777" width="19.375" customWidth="1"/>
    <col min="11778" max="11778" width="32.625" customWidth="1"/>
    <col min="11779" max="11779" width="33.125" customWidth="1"/>
    <col min="12033" max="12033" width="19.375" customWidth="1"/>
    <col min="12034" max="12034" width="32.625" customWidth="1"/>
    <col min="12035" max="12035" width="33.125" customWidth="1"/>
    <col min="12289" max="12289" width="19.375" customWidth="1"/>
    <col min="12290" max="12290" width="32.625" customWidth="1"/>
    <col min="12291" max="12291" width="33.125" customWidth="1"/>
    <col min="12545" max="12545" width="19.375" customWidth="1"/>
    <col min="12546" max="12546" width="32.625" customWidth="1"/>
    <col min="12547" max="12547" width="33.125" customWidth="1"/>
    <col min="12801" max="12801" width="19.375" customWidth="1"/>
    <col min="12802" max="12802" width="32.625" customWidth="1"/>
    <col min="12803" max="12803" width="33.125" customWidth="1"/>
    <col min="13057" max="13057" width="19.375" customWidth="1"/>
    <col min="13058" max="13058" width="32.625" customWidth="1"/>
    <col min="13059" max="13059" width="33.125" customWidth="1"/>
    <col min="13313" max="13313" width="19.375" customWidth="1"/>
    <col min="13314" max="13314" width="32.625" customWidth="1"/>
    <col min="13315" max="13315" width="33.125" customWidth="1"/>
    <col min="13569" max="13569" width="19.375" customWidth="1"/>
    <col min="13570" max="13570" width="32.625" customWidth="1"/>
    <col min="13571" max="13571" width="33.125" customWidth="1"/>
    <col min="13825" max="13825" width="19.375" customWidth="1"/>
    <col min="13826" max="13826" width="32.625" customWidth="1"/>
    <col min="13827" max="13827" width="33.125" customWidth="1"/>
    <col min="14081" max="14081" width="19.375" customWidth="1"/>
    <col min="14082" max="14082" width="32.625" customWidth="1"/>
    <col min="14083" max="14083" width="33.125" customWidth="1"/>
    <col min="14337" max="14337" width="19.375" customWidth="1"/>
    <col min="14338" max="14338" width="32.625" customWidth="1"/>
    <col min="14339" max="14339" width="33.125" customWidth="1"/>
    <col min="14593" max="14593" width="19.375" customWidth="1"/>
    <col min="14594" max="14594" width="32.625" customWidth="1"/>
    <col min="14595" max="14595" width="33.125" customWidth="1"/>
    <col min="14849" max="14849" width="19.375" customWidth="1"/>
    <col min="14850" max="14850" width="32.625" customWidth="1"/>
    <col min="14851" max="14851" width="33.125" customWidth="1"/>
    <col min="15105" max="15105" width="19.375" customWidth="1"/>
    <col min="15106" max="15106" width="32.625" customWidth="1"/>
    <col min="15107" max="15107" width="33.125" customWidth="1"/>
    <col min="15361" max="15361" width="19.375" customWidth="1"/>
    <col min="15362" max="15362" width="32.625" customWidth="1"/>
    <col min="15363" max="15363" width="33.125" customWidth="1"/>
    <col min="15617" max="15617" width="19.375" customWidth="1"/>
    <col min="15618" max="15618" width="32.625" customWidth="1"/>
    <col min="15619" max="15619" width="33.125" customWidth="1"/>
    <col min="15873" max="15873" width="19.375" customWidth="1"/>
    <col min="15874" max="15874" width="32.625" customWidth="1"/>
    <col min="15875" max="15875" width="33.125" customWidth="1"/>
    <col min="16129" max="16129" width="19.375" customWidth="1"/>
    <col min="16130" max="16130" width="32.625" customWidth="1"/>
    <col min="16131" max="16131" width="33.125" customWidth="1"/>
  </cols>
  <sheetData>
    <row r="1" spans="1:3">
      <c r="A1" t="s">
        <v>958</v>
      </c>
      <c r="C1" s="376" t="s">
        <v>676</v>
      </c>
    </row>
    <row r="3" spans="1:3" ht="33.75" customHeight="1">
      <c r="A3" s="493" t="s">
        <v>830</v>
      </c>
      <c r="B3" s="496"/>
      <c r="C3" s="497"/>
    </row>
    <row r="4" spans="1:3" ht="33.75" customHeight="1">
      <c r="A4" s="472" t="s">
        <v>740</v>
      </c>
      <c r="B4" s="72"/>
      <c r="C4" s="72"/>
    </row>
    <row r="5" spans="1:3" ht="33.75" customHeight="1">
      <c r="A5" s="472" t="s">
        <v>822</v>
      </c>
      <c r="B5" s="72"/>
      <c r="C5" s="72"/>
    </row>
    <row r="6" spans="1:3" ht="33.75" customHeight="1">
      <c r="A6" s="493" t="s">
        <v>831</v>
      </c>
      <c r="B6" s="496"/>
      <c r="C6" s="497"/>
    </row>
    <row r="7" spans="1:3" ht="33.75" customHeight="1">
      <c r="A7" s="472" t="s">
        <v>415</v>
      </c>
      <c r="B7" s="370" t="s">
        <v>823</v>
      </c>
      <c r="C7" s="370" t="s">
        <v>826</v>
      </c>
    </row>
    <row r="8" spans="1:3" ht="33.75" customHeight="1">
      <c r="A8" s="472" t="s">
        <v>853</v>
      </c>
      <c r="B8" s="2"/>
      <c r="C8" s="2"/>
    </row>
    <row r="9" spans="1:3" ht="33.75" customHeight="1">
      <c r="A9" s="472" t="s">
        <v>748</v>
      </c>
      <c r="B9" s="2"/>
      <c r="C9" s="2"/>
    </row>
    <row r="10" spans="1:3">
      <c r="A10" s="494" t="s">
        <v>586</v>
      </c>
      <c r="B10" s="2"/>
      <c r="C10" s="2"/>
    </row>
    <row r="11" spans="1:3" ht="24.75" customHeight="1"/>
    <row r="12" spans="1:3" ht="13.5" customHeight="1">
      <c r="A12" t="s">
        <v>959</v>
      </c>
    </row>
    <row r="13" spans="1:3" ht="13.5" customHeight="1">
      <c r="A13" s="495" t="s">
        <v>960</v>
      </c>
    </row>
    <row r="14" spans="1:3" ht="13.5" customHeight="1">
      <c r="A14" t="s">
        <v>961</v>
      </c>
    </row>
    <row r="15" spans="1:3" ht="13.5" customHeight="1">
      <c r="A15" s="323" t="s">
        <v>962</v>
      </c>
    </row>
    <row r="16" spans="1:3">
      <c r="A16" t="s">
        <v>828</v>
      </c>
    </row>
    <row r="17" spans="1:3">
      <c r="A17" t="s">
        <v>527</v>
      </c>
    </row>
    <row r="18" spans="1:3" ht="30.75" customHeight="1">
      <c r="A18" s="478" t="s">
        <v>855</v>
      </c>
      <c r="B18" s="478"/>
      <c r="C18" s="478"/>
    </row>
    <row r="19" spans="1:3">
      <c r="A19" t="s">
        <v>491</v>
      </c>
    </row>
    <row r="20" spans="1:3">
      <c r="A20" t="s">
        <v>554</v>
      </c>
    </row>
    <row r="21" spans="1:3">
      <c r="A21" t="s">
        <v>856</v>
      </c>
    </row>
    <row r="22" spans="1:3">
      <c r="A22" t="s">
        <v>857</v>
      </c>
    </row>
    <row r="24" spans="1:3">
      <c r="A24" s="296" t="s">
        <v>460</v>
      </c>
    </row>
  </sheetData>
  <mergeCells count="5">
    <mergeCell ref="A3:C3"/>
    <mergeCell ref="B4:C4"/>
    <mergeCell ref="B5:C5"/>
    <mergeCell ref="A6:C6"/>
    <mergeCell ref="A18:C18"/>
  </mergeCells>
  <phoneticPr fontId="1"/>
  <hyperlinks>
    <hyperlink ref="A13" r:id="rId1"/>
    <hyperlink ref="A15" r:id="rId2"/>
  </hyperlinks>
  <pageMargins left="0.7" right="0.7" top="0.75" bottom="0.75" header="0.3" footer="0.3"/>
  <pageSetup paperSize="9" fitToWidth="1" fitToHeight="1" orientation="portrait" usePrinterDefaults="1" r:id="rId3"/>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rgb="FFD4F3B5"/>
  </sheetPr>
  <dimension ref="A1:I39"/>
  <sheetViews>
    <sheetView view="pageBreakPreview" zoomScale="60" workbookViewId="0">
      <selection activeCell="AC55" sqref="AC55"/>
    </sheetView>
  </sheetViews>
  <sheetFormatPr defaultRowHeight="13.5"/>
  <cols>
    <col min="7" max="8" width="9.875" customWidth="1"/>
  </cols>
  <sheetData>
    <row r="1" spans="1:7">
      <c r="A1" t="s">
        <v>985</v>
      </c>
      <c r="G1" t="s">
        <v>1009</v>
      </c>
    </row>
    <row r="3" spans="1:7" ht="18.75" customHeight="1">
      <c r="A3" t="s">
        <v>1010</v>
      </c>
    </row>
    <row r="4" spans="1:7" ht="18.75" customHeight="1">
      <c r="A4" t="s">
        <v>541</v>
      </c>
    </row>
    <row r="6" spans="1:7">
      <c r="A6" t="s">
        <v>824</v>
      </c>
    </row>
    <row r="32" spans="1:1">
      <c r="A32" t="s">
        <v>724</v>
      </c>
    </row>
    <row r="38" spans="1:9">
      <c r="A38" s="394" t="s">
        <v>833</v>
      </c>
      <c r="B38" s="394"/>
      <c r="C38" s="394"/>
      <c r="D38" s="394"/>
      <c r="E38" s="394"/>
      <c r="F38" s="394"/>
      <c r="G38" s="394"/>
      <c r="H38" s="394"/>
      <c r="I38" s="394"/>
    </row>
    <row r="39" spans="1:9">
      <c r="A39" s="395" t="s">
        <v>470</v>
      </c>
      <c r="B39" s="406"/>
      <c r="C39" s="406"/>
      <c r="D39" s="406"/>
      <c r="E39" s="406"/>
      <c r="F39" s="406"/>
      <c r="G39" s="406"/>
      <c r="H39" s="406"/>
      <c r="I39" s="406"/>
    </row>
  </sheetData>
  <mergeCells count="2">
    <mergeCell ref="A38:I38"/>
    <mergeCell ref="A39:I39"/>
  </mergeCells>
  <phoneticPr fontId="1"/>
  <hyperlinks>
    <hyperlink ref="A39" r:id="rId1"/>
  </hyperlinks>
  <pageMargins left="0.7" right="0.7" top="0.75" bottom="0.75" header="0.3" footer="0.3"/>
  <pageSetup paperSize="9" fitToWidth="1" fitToHeight="1" orientation="portrait" usePrinterDefaults="1"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sheetPr codeName="Sheet10"/>
  <dimension ref="A1:IV12"/>
  <sheetViews>
    <sheetView workbookViewId="0">
      <selection activeCell="EQ12" sqref="EQ12"/>
    </sheetView>
  </sheetViews>
  <sheetFormatPr defaultRowHeight="13.5"/>
  <sheetData>
    <row r="1" spans="1:256">
      <c r="A1" t="e">
        <f>IF(#REF!,"AAAAAD6cbQA=",0)</f>
        <v>#REF!</v>
      </c>
      <c r="B1" t="e">
        <f>AND(#REF!,"AAAAAD6cbQE=")</f>
        <v>#REF!</v>
      </c>
      <c r="C1" t="e">
        <f>AND(#REF!,"AAAAAD6cbQI=")</f>
        <v>#REF!</v>
      </c>
      <c r="D1" t="e">
        <f>AND(#REF!,"AAAAAD6cbQM=")</f>
        <v>#REF!</v>
      </c>
      <c r="E1" t="e">
        <f>AND(#REF!,"AAAAAD6cbQQ=")</f>
        <v>#REF!</v>
      </c>
      <c r="F1" t="e">
        <f>AND(#REF!,"AAAAAD6cbQU=")</f>
        <v>#REF!</v>
      </c>
      <c r="G1" t="e">
        <f>AND(#REF!,"AAAAAD6cbQY=")</f>
        <v>#REF!</v>
      </c>
      <c r="H1" t="e">
        <f>AND(#REF!,"AAAAAD6cbQc=")</f>
        <v>#REF!</v>
      </c>
      <c r="I1" t="e">
        <f>AND(#REF!,"AAAAAD6cbQg=")</f>
        <v>#REF!</v>
      </c>
      <c r="J1" t="e">
        <f>AND(#REF!,"AAAAAD6cbQk=")</f>
        <v>#REF!</v>
      </c>
      <c r="K1" t="e">
        <f>AND(#REF!,"AAAAAD6cbQo=")</f>
        <v>#REF!</v>
      </c>
      <c r="L1" t="e">
        <f>AND(#REF!,"AAAAAD6cbQs=")</f>
        <v>#REF!</v>
      </c>
      <c r="M1" t="e">
        <f>IF(#REF!,"AAAAAD6cbQw=",0)</f>
        <v>#REF!</v>
      </c>
      <c r="N1" t="e">
        <f>AND(#REF!,"AAAAAD6cbQ0=")</f>
        <v>#REF!</v>
      </c>
      <c r="O1" t="e">
        <f>AND(#REF!,"AAAAAD6cbQ4=")</f>
        <v>#REF!</v>
      </c>
      <c r="P1" t="e">
        <f>AND(#REF!,"AAAAAD6cbQ8=")</f>
        <v>#REF!</v>
      </c>
      <c r="Q1" t="e">
        <f>AND(#REF!,"AAAAAD6cbRA=")</f>
        <v>#REF!</v>
      </c>
      <c r="R1" t="e">
        <f>AND(#REF!,"AAAAAD6cbRE=")</f>
        <v>#REF!</v>
      </c>
      <c r="S1" t="e">
        <f>AND(#REF!,"AAAAAD6cbRI=")</f>
        <v>#REF!</v>
      </c>
      <c r="T1" t="e">
        <f>AND(#REF!,"AAAAAD6cbRM=")</f>
        <v>#REF!</v>
      </c>
      <c r="U1" t="e">
        <f>AND(#REF!,"AAAAAD6cbRQ=")</f>
        <v>#REF!</v>
      </c>
      <c r="V1" t="e">
        <f>AND(#REF!,"AAAAAD6cbRU=")</f>
        <v>#REF!</v>
      </c>
      <c r="W1" t="e">
        <f>AND(#REF!,"AAAAAD6cbRY=")</f>
        <v>#REF!</v>
      </c>
      <c r="X1" t="e">
        <f>AND(#REF!,"AAAAAD6cbRc=")</f>
        <v>#REF!</v>
      </c>
      <c r="Y1" t="e">
        <f>IF(#REF!,"AAAAAD6cbRg=",0)</f>
        <v>#REF!</v>
      </c>
      <c r="Z1" t="e">
        <f>AND(#REF!,"AAAAAD6cbRk=")</f>
        <v>#REF!</v>
      </c>
      <c r="AA1" t="e">
        <f>AND(#REF!,"AAAAAD6cbRo=")</f>
        <v>#REF!</v>
      </c>
      <c r="AB1" t="e">
        <f>AND(#REF!,"AAAAAD6cbRs=")</f>
        <v>#REF!</v>
      </c>
      <c r="AC1" t="e">
        <f>AND(#REF!,"AAAAAD6cbRw=")</f>
        <v>#REF!</v>
      </c>
      <c r="AD1" t="e">
        <f>AND(#REF!,"AAAAAD6cbR0=")</f>
        <v>#REF!</v>
      </c>
      <c r="AE1" t="e">
        <f>AND(#REF!,"AAAAAD6cbR4=")</f>
        <v>#REF!</v>
      </c>
      <c r="AF1" t="e">
        <f>AND(#REF!,"AAAAAD6cbR8=")</f>
        <v>#REF!</v>
      </c>
      <c r="AG1" t="e">
        <f>AND(#REF!,"AAAAAD6cbSA=")</f>
        <v>#REF!</v>
      </c>
      <c r="AH1" t="e">
        <f>AND(#REF!,"AAAAAD6cbSE=")</f>
        <v>#REF!</v>
      </c>
      <c r="AI1" t="e">
        <f>AND(#REF!,"AAAAAD6cbSI=")</f>
        <v>#REF!</v>
      </c>
      <c r="AJ1" t="e">
        <f>AND(#REF!,"AAAAAD6cbSM=")</f>
        <v>#REF!</v>
      </c>
      <c r="AK1" t="e">
        <f>IF(#REF!,"AAAAAD6cbSQ=",0)</f>
        <v>#REF!</v>
      </c>
      <c r="AL1" t="e">
        <f>AND(#REF!,"AAAAAD6cbSU=")</f>
        <v>#REF!</v>
      </c>
      <c r="AM1" t="e">
        <f>AND(#REF!,"AAAAAD6cbSY=")</f>
        <v>#REF!</v>
      </c>
      <c r="AN1" t="e">
        <f>AND(#REF!,"AAAAAD6cbSc=")</f>
        <v>#REF!</v>
      </c>
      <c r="AO1" t="e">
        <f>AND(#REF!,"AAAAAD6cbSg=")</f>
        <v>#REF!</v>
      </c>
      <c r="AP1" t="e">
        <f>AND(#REF!,"AAAAAD6cbSk=")</f>
        <v>#REF!</v>
      </c>
      <c r="AQ1" t="e">
        <f>AND(#REF!,"AAAAAD6cbSo=")</f>
        <v>#REF!</v>
      </c>
      <c r="AR1" t="e">
        <f>AND(#REF!,"AAAAAD6cbSs=")</f>
        <v>#REF!</v>
      </c>
      <c r="AS1" t="e">
        <f>AND(#REF!,"AAAAAD6cbSw=")</f>
        <v>#REF!</v>
      </c>
      <c r="AT1" t="e">
        <f>AND(#REF!,"AAAAAD6cbS0=")</f>
        <v>#REF!</v>
      </c>
      <c r="AU1" t="e">
        <f>AND(#REF!,"AAAAAD6cbS4=")</f>
        <v>#REF!</v>
      </c>
      <c r="AV1" t="e">
        <f>AND(#REF!,"AAAAAD6cbS8=")</f>
        <v>#REF!</v>
      </c>
      <c r="AW1" t="e">
        <f>IF(#REF!,"AAAAAD6cbTA=",0)</f>
        <v>#REF!</v>
      </c>
      <c r="AX1" t="e">
        <f>AND(#REF!,"AAAAAD6cbTE=")</f>
        <v>#REF!</v>
      </c>
      <c r="AY1" t="e">
        <f>AND(#REF!,"AAAAAD6cbTI=")</f>
        <v>#REF!</v>
      </c>
      <c r="AZ1" t="e">
        <f>AND(#REF!,"AAAAAD6cbTM=")</f>
        <v>#REF!</v>
      </c>
      <c r="BA1" t="e">
        <f>AND(#REF!,"AAAAAD6cbTQ=")</f>
        <v>#REF!</v>
      </c>
      <c r="BB1" t="e">
        <f>AND(#REF!,"AAAAAD6cbTU=")</f>
        <v>#REF!</v>
      </c>
      <c r="BC1" t="e">
        <f>AND(#REF!,"AAAAAD6cbTY=")</f>
        <v>#REF!</v>
      </c>
      <c r="BD1" t="e">
        <f>AND(#REF!,"AAAAAD6cbTc=")</f>
        <v>#REF!</v>
      </c>
      <c r="BE1" t="e">
        <f>AND(#REF!,"AAAAAD6cbTg=")</f>
        <v>#REF!</v>
      </c>
      <c r="BF1" t="e">
        <f>AND(#REF!,"AAAAAD6cbTk=")</f>
        <v>#REF!</v>
      </c>
      <c r="BG1" t="e">
        <f>AND(#REF!,"AAAAAD6cbTo=")</f>
        <v>#REF!</v>
      </c>
      <c r="BH1" t="e">
        <f>AND(#REF!,"AAAAAD6cbTs=")</f>
        <v>#REF!</v>
      </c>
      <c r="BI1" t="e">
        <f>IF(#REF!,"AAAAAD6cbTw=",0)</f>
        <v>#REF!</v>
      </c>
      <c r="BJ1" t="e">
        <f>IF(#REF!,"AAAAAD6cbT0=",0)</f>
        <v>#REF!</v>
      </c>
      <c r="BK1" t="e">
        <f>IF(#REF!,"AAAAAD6cbT4=",0)</f>
        <v>#REF!</v>
      </c>
      <c r="BL1" t="e">
        <f>IF(#REF!,"AAAAAD6cbT8=",0)</f>
        <v>#REF!</v>
      </c>
      <c r="BM1" t="e">
        <f>IF(#REF!,"AAAAAD6cbUA=",0)</f>
        <v>#REF!</v>
      </c>
      <c r="BN1" t="e">
        <f>IF(#REF!,"AAAAAD6cbUE=",0)</f>
        <v>#REF!</v>
      </c>
      <c r="BO1" t="e">
        <f>IF(#REF!,"AAAAAD6cbUI=",0)</f>
        <v>#REF!</v>
      </c>
      <c r="BP1" t="e">
        <f>IF(#REF!,"AAAAAD6cbUM=",0)</f>
        <v>#REF!</v>
      </c>
      <c r="BQ1" t="e">
        <f>IF(#REF!,"AAAAAD6cbUQ=",0)</f>
        <v>#REF!</v>
      </c>
      <c r="BR1" t="e">
        <f>IF(#REF!,"AAAAAD6cbUU=",0)</f>
        <v>#REF!</v>
      </c>
      <c r="BS1" t="e">
        <f>IF(#REF!,"AAAAAD6cbUY=",0)</f>
        <v>#REF!</v>
      </c>
      <c r="BT1" t="e">
        <f>IF(#REF!,"AAAAAD6cbUc=",0)</f>
        <v>#REF!</v>
      </c>
      <c r="BU1" t="e">
        <f>AND(#REF!,"AAAAAD6cbUg=")</f>
        <v>#REF!</v>
      </c>
      <c r="BV1" t="e">
        <f>AND(#REF!,"AAAAAD6cbUk=")</f>
        <v>#REF!</v>
      </c>
      <c r="BW1" t="e">
        <f>AND(#REF!,"AAAAAD6cbUo=")</f>
        <v>#REF!</v>
      </c>
      <c r="BX1" t="e">
        <f>AND(#REF!,"AAAAAD6cbUs=")</f>
        <v>#REF!</v>
      </c>
      <c r="BY1" t="e">
        <f>AND(#REF!,"AAAAAD6cbUw=")</f>
        <v>#REF!</v>
      </c>
      <c r="BZ1" t="e">
        <f>AND(#REF!,"AAAAAD6cbU0=")</f>
        <v>#REF!</v>
      </c>
      <c r="CA1" t="e">
        <f>AND(#REF!,"AAAAAD6cbU4=")</f>
        <v>#REF!</v>
      </c>
      <c r="CB1" t="e">
        <f>AND(#REF!,"AAAAAD6cbU8=")</f>
        <v>#REF!</v>
      </c>
      <c r="CC1" t="e">
        <f>AND(#REF!,"AAAAAD6cbVA=")</f>
        <v>#REF!</v>
      </c>
      <c r="CD1" t="e">
        <f>IF(#REF!,"AAAAAD6cbVE=",0)</f>
        <v>#REF!</v>
      </c>
      <c r="CE1" t="e">
        <f>AND(#REF!,"AAAAAD6cbVI=")</f>
        <v>#REF!</v>
      </c>
      <c r="CF1" t="e">
        <f>AND(#REF!,"AAAAAD6cbVM=")</f>
        <v>#REF!</v>
      </c>
      <c r="CG1" t="e">
        <f>AND(#REF!,"AAAAAD6cbVQ=")</f>
        <v>#REF!</v>
      </c>
      <c r="CH1" t="e">
        <f>AND(#REF!,"AAAAAD6cbVU=")</f>
        <v>#REF!</v>
      </c>
      <c r="CI1" t="e">
        <f>AND(#REF!,"AAAAAD6cbVY=")</f>
        <v>#REF!</v>
      </c>
      <c r="CJ1" t="e">
        <f>AND(#REF!,"AAAAAD6cbVc=")</f>
        <v>#REF!</v>
      </c>
      <c r="CK1" t="e">
        <f>AND(#REF!,"AAAAAD6cbVg=")</f>
        <v>#REF!</v>
      </c>
      <c r="CL1" t="e">
        <f>AND(#REF!,"AAAAAD6cbVk=")</f>
        <v>#REF!</v>
      </c>
      <c r="CM1" t="e">
        <f>AND(#REF!,"AAAAAD6cbVo=")</f>
        <v>#REF!</v>
      </c>
      <c r="CN1" t="e">
        <f>IF(#REF!,"AAAAAD6cbVs=",0)</f>
        <v>#REF!</v>
      </c>
      <c r="CO1" t="e">
        <f>AND(#REF!,"AAAAAD6cbVw=")</f>
        <v>#REF!</v>
      </c>
      <c r="CP1" t="e">
        <f>AND(#REF!,"AAAAAD6cbV0=")</f>
        <v>#REF!</v>
      </c>
      <c r="CQ1" t="e">
        <f>AND(#REF!,"AAAAAD6cbV4=")</f>
        <v>#REF!</v>
      </c>
      <c r="CR1" t="e">
        <f>AND(#REF!,"AAAAAD6cbV8=")</f>
        <v>#REF!</v>
      </c>
      <c r="CS1" t="e">
        <f>AND(#REF!,"AAAAAD6cbWA=")</f>
        <v>#REF!</v>
      </c>
      <c r="CT1" t="e">
        <f>AND(#REF!,"AAAAAD6cbWE=")</f>
        <v>#REF!</v>
      </c>
      <c r="CU1" t="e">
        <f>AND(#REF!,"AAAAAD6cbWI=")</f>
        <v>#REF!</v>
      </c>
      <c r="CV1" t="e">
        <f>AND(#REF!,"AAAAAD6cbWM=")</f>
        <v>#REF!</v>
      </c>
      <c r="CW1" t="e">
        <f>AND(#REF!,"AAAAAD6cbWQ=")</f>
        <v>#REF!</v>
      </c>
      <c r="CX1" t="e">
        <f>IF(#REF!,"AAAAAD6cbWU=",0)</f>
        <v>#REF!</v>
      </c>
      <c r="CY1" t="e">
        <f>AND(#REF!,"AAAAAD6cbWY=")</f>
        <v>#REF!</v>
      </c>
      <c r="CZ1" t="e">
        <f>AND(#REF!,"AAAAAD6cbWc=")</f>
        <v>#REF!</v>
      </c>
      <c r="DA1" t="e">
        <f>AND(#REF!,"AAAAAD6cbWg=")</f>
        <v>#REF!</v>
      </c>
      <c r="DB1" t="e">
        <f>AND(#REF!,"AAAAAD6cbWk=")</f>
        <v>#REF!</v>
      </c>
      <c r="DC1" t="e">
        <f>AND(#REF!,"AAAAAD6cbWo=")</f>
        <v>#REF!</v>
      </c>
      <c r="DD1" t="e">
        <f>AND(#REF!,"AAAAAD6cbWs=")</f>
        <v>#REF!</v>
      </c>
      <c r="DE1" t="e">
        <f>AND(#REF!,"AAAAAD6cbWw=")</f>
        <v>#REF!</v>
      </c>
      <c r="DF1" t="e">
        <f>AND(#REF!,"AAAAAD6cbW0=")</f>
        <v>#REF!</v>
      </c>
      <c r="DG1" t="e">
        <f>AND(#REF!,"AAAAAD6cbW4=")</f>
        <v>#REF!</v>
      </c>
      <c r="DH1" t="e">
        <f>IF(#REF!,"AAAAAD6cbW8=",0)</f>
        <v>#REF!</v>
      </c>
      <c r="DI1" t="e">
        <f>AND(#REF!,"AAAAAD6cbXA=")</f>
        <v>#REF!</v>
      </c>
      <c r="DJ1" t="e">
        <f>AND(#REF!,"AAAAAD6cbXE=")</f>
        <v>#REF!</v>
      </c>
      <c r="DK1" t="e">
        <f>AND(#REF!,"AAAAAD6cbXI=")</f>
        <v>#REF!</v>
      </c>
      <c r="DL1" t="e">
        <f>AND(#REF!,"AAAAAD6cbXM=")</f>
        <v>#REF!</v>
      </c>
      <c r="DM1" t="e">
        <f>AND(#REF!,"AAAAAD6cbXQ=")</f>
        <v>#REF!</v>
      </c>
      <c r="DN1" t="e">
        <f>AND(#REF!,"AAAAAD6cbXU=")</f>
        <v>#REF!</v>
      </c>
      <c r="DO1" t="e">
        <f>AND(#REF!,"AAAAAD6cbXY=")</f>
        <v>#REF!</v>
      </c>
      <c r="DP1" t="e">
        <f>AND(#REF!,"AAAAAD6cbXc=")</f>
        <v>#REF!</v>
      </c>
      <c r="DQ1" t="e">
        <f>AND(#REF!,"AAAAAD6cbXg=")</f>
        <v>#REF!</v>
      </c>
      <c r="DR1" t="e">
        <f>IF(#REF!,"AAAAAD6cbXk=",0)</f>
        <v>#REF!</v>
      </c>
      <c r="DS1" t="e">
        <f>AND(#REF!,"AAAAAD6cbXo=")</f>
        <v>#REF!</v>
      </c>
      <c r="DT1" t="e">
        <f>AND(#REF!,"AAAAAD6cbXs=")</f>
        <v>#REF!</v>
      </c>
      <c r="DU1" t="e">
        <f>AND(#REF!,"AAAAAD6cbXw=")</f>
        <v>#REF!</v>
      </c>
      <c r="DV1" t="e">
        <f>AND(#REF!,"AAAAAD6cbX0=")</f>
        <v>#REF!</v>
      </c>
      <c r="DW1" t="e">
        <f>AND(#REF!,"AAAAAD6cbX4=")</f>
        <v>#REF!</v>
      </c>
      <c r="DX1" t="e">
        <f>AND(#REF!,"AAAAAD6cbX8=")</f>
        <v>#REF!</v>
      </c>
      <c r="DY1" t="e">
        <f>AND(#REF!,"AAAAAD6cbYA=")</f>
        <v>#REF!</v>
      </c>
      <c r="DZ1" t="e">
        <f>AND(#REF!,"AAAAAD6cbYE=")</f>
        <v>#REF!</v>
      </c>
      <c r="EA1" t="e">
        <f>AND(#REF!,"AAAAAD6cbYI=")</f>
        <v>#REF!</v>
      </c>
      <c r="EB1" t="e">
        <f>IF(#REF!,"AAAAAD6cbYM=",0)</f>
        <v>#REF!</v>
      </c>
      <c r="EC1" t="e">
        <f>AND(#REF!,"AAAAAD6cbYQ=")</f>
        <v>#REF!</v>
      </c>
      <c r="ED1" t="e">
        <f>AND(#REF!,"AAAAAD6cbYU=")</f>
        <v>#REF!</v>
      </c>
      <c r="EE1" t="e">
        <f>AND(#REF!,"AAAAAD6cbYY=")</f>
        <v>#REF!</v>
      </c>
      <c r="EF1" t="e">
        <f>AND(#REF!,"AAAAAD6cbYc=")</f>
        <v>#REF!</v>
      </c>
      <c r="EG1" t="e">
        <f>AND(#REF!,"AAAAAD6cbYg=")</f>
        <v>#REF!</v>
      </c>
      <c r="EH1" t="e">
        <f>AND(#REF!,"AAAAAD6cbYk=")</f>
        <v>#REF!</v>
      </c>
      <c r="EI1" t="e">
        <f>AND(#REF!,"AAAAAD6cbYo=")</f>
        <v>#REF!</v>
      </c>
      <c r="EJ1" t="e">
        <f>AND(#REF!,"AAAAAD6cbYs=")</f>
        <v>#REF!</v>
      </c>
      <c r="EK1" t="e">
        <f>AND(#REF!,"AAAAAD6cbYw=")</f>
        <v>#REF!</v>
      </c>
      <c r="EL1" t="e">
        <f>IF(#REF!,"AAAAAD6cbY0=",0)</f>
        <v>#REF!</v>
      </c>
      <c r="EM1" t="e">
        <f>AND(#REF!,"AAAAAD6cbY4=")</f>
        <v>#REF!</v>
      </c>
      <c r="EN1" t="e">
        <f>AND(#REF!,"AAAAAD6cbY8=")</f>
        <v>#REF!</v>
      </c>
      <c r="EO1" t="e">
        <f>AND(#REF!,"AAAAAD6cbZA=")</f>
        <v>#REF!</v>
      </c>
      <c r="EP1" t="e">
        <f>AND(#REF!,"AAAAAD6cbZE=")</f>
        <v>#REF!</v>
      </c>
      <c r="EQ1" t="e">
        <f>AND(#REF!,"AAAAAD6cbZI=")</f>
        <v>#REF!</v>
      </c>
      <c r="ER1" t="e">
        <f>AND(#REF!,"AAAAAD6cbZM=")</f>
        <v>#REF!</v>
      </c>
      <c r="ES1" t="e">
        <f>AND(#REF!,"AAAAAD6cbZQ=")</f>
        <v>#REF!</v>
      </c>
      <c r="ET1" t="e">
        <f>AND(#REF!,"AAAAAD6cbZU=")</f>
        <v>#REF!</v>
      </c>
      <c r="EU1" t="e">
        <f>AND(#REF!,"AAAAAD6cbZY=")</f>
        <v>#REF!</v>
      </c>
      <c r="EV1" t="e">
        <f>IF(#REF!,"AAAAAD6cbZc=",0)</f>
        <v>#REF!</v>
      </c>
      <c r="EW1" t="e">
        <f>AND(#REF!,"AAAAAD6cbZg=")</f>
        <v>#REF!</v>
      </c>
      <c r="EX1" t="e">
        <f>AND(#REF!,"AAAAAD6cbZk=")</f>
        <v>#REF!</v>
      </c>
      <c r="EY1" t="e">
        <f>AND(#REF!,"AAAAAD6cbZo=")</f>
        <v>#REF!</v>
      </c>
      <c r="EZ1" t="e">
        <f>AND(#REF!,"AAAAAD6cbZs=")</f>
        <v>#REF!</v>
      </c>
      <c r="FA1" t="e">
        <f>AND(#REF!,"AAAAAD6cbZw=")</f>
        <v>#REF!</v>
      </c>
      <c r="FB1" t="e">
        <f>AND(#REF!,"AAAAAD6cbZ0=")</f>
        <v>#REF!</v>
      </c>
      <c r="FC1" t="e">
        <f>AND(#REF!,"AAAAAD6cbZ4=")</f>
        <v>#REF!</v>
      </c>
      <c r="FD1" t="e">
        <f>AND(#REF!,"AAAAAD6cbZ8=")</f>
        <v>#REF!</v>
      </c>
      <c r="FE1" t="e">
        <f>AND(#REF!,"AAAAAD6cbaA=")</f>
        <v>#REF!</v>
      </c>
      <c r="FF1" t="e">
        <f>IF(#REF!,"AAAAAD6cbaE=",0)</f>
        <v>#REF!</v>
      </c>
      <c r="FG1" t="e">
        <f>IF(#REF!,"AAAAAD6cbaI=",0)</f>
        <v>#REF!</v>
      </c>
      <c r="FH1" t="e">
        <f>IF(#REF!,"AAAAAD6cbaM=",0)</f>
        <v>#REF!</v>
      </c>
      <c r="FI1" t="e">
        <f>IF(#REF!,"AAAAAD6cbaQ=",0)</f>
        <v>#REF!</v>
      </c>
      <c r="FJ1" t="e">
        <f>IF(#REF!,"AAAAAD6cbaU=",0)</f>
        <v>#REF!</v>
      </c>
      <c r="FK1" t="e">
        <f>IF(#REF!,"AAAAAD6cbaY=",0)</f>
        <v>#REF!</v>
      </c>
      <c r="FL1" t="e">
        <f>IF(#REF!,"AAAAAD6cbac=",0)</f>
        <v>#REF!</v>
      </c>
      <c r="FM1" t="e">
        <f>IF(#REF!,"AAAAAD6cbag=",0)</f>
        <v>#REF!</v>
      </c>
      <c r="FN1" t="e">
        <f>IF(#REF!,"AAAAAD6cbak=",0)</f>
        <v>#REF!</v>
      </c>
      <c r="FO1" t="e">
        <f>IF(#REF!,"AAAAAD6cbao=",0)</f>
        <v>#REF!</v>
      </c>
      <c r="FP1" t="e">
        <f>AND(#REF!,"AAAAAD6cbas=")</f>
        <v>#REF!</v>
      </c>
      <c r="FQ1" t="e">
        <f>AND(#REF!,"AAAAAD6cbaw=")</f>
        <v>#REF!</v>
      </c>
      <c r="FR1" t="e">
        <f>AND(#REF!,"AAAAAD6cba0=")</f>
        <v>#REF!</v>
      </c>
      <c r="FS1" t="e">
        <f>AND(#REF!,"AAAAAD6cba4=")</f>
        <v>#REF!</v>
      </c>
      <c r="FT1" t="e">
        <f>AND(#REF!,"AAAAAD6cba8=")</f>
        <v>#REF!</v>
      </c>
      <c r="FU1" t="e">
        <f>IF(#REF!,"AAAAAD6cbbA=",0)</f>
        <v>#REF!</v>
      </c>
      <c r="FV1" t="e">
        <f>AND(#REF!,"AAAAAD6cbbE=")</f>
        <v>#REF!</v>
      </c>
      <c r="FW1" t="e">
        <f>AND(#REF!,"AAAAAD6cbbI=")</f>
        <v>#REF!</v>
      </c>
      <c r="FX1" t="e">
        <f>AND(#REF!,"AAAAAD6cbbM=")</f>
        <v>#REF!</v>
      </c>
      <c r="FY1" t="e">
        <f>AND(#REF!,"AAAAAD6cbbQ=")</f>
        <v>#REF!</v>
      </c>
      <c r="FZ1" t="e">
        <f>AND(#REF!,"AAAAAD6cbbU=")</f>
        <v>#REF!</v>
      </c>
      <c r="GA1" t="e">
        <f>IF(#REF!,"AAAAAD6cbbY=",0)</f>
        <v>#REF!</v>
      </c>
      <c r="GB1" t="e">
        <f>AND(#REF!,"AAAAAD6cbbc=")</f>
        <v>#REF!</v>
      </c>
      <c r="GC1" t="e">
        <f>AND(#REF!,"AAAAAD6cbbg=")</f>
        <v>#REF!</v>
      </c>
      <c r="GD1" t="e">
        <f>AND(#REF!,"AAAAAD6cbbk=")</f>
        <v>#REF!</v>
      </c>
      <c r="GE1" t="e">
        <f>AND(#REF!,"AAAAAD6cbbo=")</f>
        <v>#REF!</v>
      </c>
      <c r="GF1" t="e">
        <f>AND(#REF!,"AAAAAD6cbbs=")</f>
        <v>#REF!</v>
      </c>
      <c r="GG1" t="e">
        <f>IF(#REF!,"AAAAAD6cbbw=",0)</f>
        <v>#REF!</v>
      </c>
      <c r="GH1" t="e">
        <f>AND(#REF!,"AAAAAD6cbb0=")</f>
        <v>#REF!</v>
      </c>
      <c r="GI1" t="e">
        <f>AND(#REF!,"AAAAAD6cbb4=")</f>
        <v>#REF!</v>
      </c>
      <c r="GJ1" t="e">
        <f>AND(#REF!,"AAAAAD6cbb8=")</f>
        <v>#REF!</v>
      </c>
      <c r="GK1" t="e">
        <f>AND(#REF!,"AAAAAD6cbcA=")</f>
        <v>#REF!</v>
      </c>
      <c r="GL1" t="e">
        <f>AND(#REF!,"AAAAAD6cbcE=")</f>
        <v>#REF!</v>
      </c>
      <c r="GM1" t="e">
        <f>IF(#REF!,"AAAAAD6cbcI=",0)</f>
        <v>#REF!</v>
      </c>
      <c r="GN1" t="e">
        <f>AND(#REF!,"AAAAAD6cbcM=")</f>
        <v>#REF!</v>
      </c>
      <c r="GO1" t="e">
        <f>AND(#REF!,"AAAAAD6cbcQ=")</f>
        <v>#REF!</v>
      </c>
      <c r="GP1" t="e">
        <f>AND(#REF!,"AAAAAD6cbcU=")</f>
        <v>#REF!</v>
      </c>
      <c r="GQ1" t="e">
        <f>AND(#REF!,"AAAAAD6cbcY=")</f>
        <v>#REF!</v>
      </c>
      <c r="GR1" t="e">
        <f>AND(#REF!,"AAAAAD6cbcc=")</f>
        <v>#REF!</v>
      </c>
      <c r="GS1" t="e">
        <f>IF(#REF!,"AAAAAD6cbcg=",0)</f>
        <v>#REF!</v>
      </c>
      <c r="GT1" t="e">
        <f>AND(#REF!,"AAAAAD6cbck=")</f>
        <v>#REF!</v>
      </c>
      <c r="GU1" t="e">
        <f>AND(#REF!,"AAAAAD6cbco=")</f>
        <v>#REF!</v>
      </c>
      <c r="GV1" t="e">
        <f>AND(#REF!,"AAAAAD6cbcs=")</f>
        <v>#REF!</v>
      </c>
      <c r="GW1" t="e">
        <f>AND(#REF!,"AAAAAD6cbcw=")</f>
        <v>#REF!</v>
      </c>
      <c r="GX1" t="e">
        <f>AND(#REF!,"AAAAAD6cbc0=")</f>
        <v>#REF!</v>
      </c>
      <c r="GY1" t="e">
        <f>IF(#REF!,"AAAAAD6cbc4=",0)</f>
        <v>#REF!</v>
      </c>
      <c r="GZ1" t="e">
        <f>AND(#REF!,"AAAAAD6cbc8=")</f>
        <v>#REF!</v>
      </c>
      <c r="HA1" t="e">
        <f>AND(#REF!,"AAAAAD6cbdA=")</f>
        <v>#REF!</v>
      </c>
      <c r="HB1" t="e">
        <f>AND(#REF!,"AAAAAD6cbdE=")</f>
        <v>#REF!</v>
      </c>
      <c r="HC1" t="e">
        <f>AND(#REF!,"AAAAAD6cbdI=")</f>
        <v>#REF!</v>
      </c>
      <c r="HD1" t="e">
        <f>AND(#REF!,"AAAAAD6cbdM=")</f>
        <v>#REF!</v>
      </c>
      <c r="HE1" t="e">
        <f>IF(#REF!,"AAAAAD6cbdQ=",0)</f>
        <v>#REF!</v>
      </c>
      <c r="HF1" t="e">
        <f>AND(#REF!,"AAAAAD6cbdU=")</f>
        <v>#REF!</v>
      </c>
      <c r="HG1" t="e">
        <f>AND(#REF!,"AAAAAD6cbdY=")</f>
        <v>#REF!</v>
      </c>
      <c r="HH1" t="e">
        <f>AND(#REF!,"AAAAAD6cbdc=")</f>
        <v>#REF!</v>
      </c>
      <c r="HI1" t="e">
        <f>AND(#REF!,"AAAAAD6cbdg=")</f>
        <v>#REF!</v>
      </c>
      <c r="HJ1" t="e">
        <f>AND(#REF!,"AAAAAD6cbdk=")</f>
        <v>#REF!</v>
      </c>
      <c r="HK1" t="e">
        <f>IF(#REF!,"AAAAAD6cbdo=",0)</f>
        <v>#REF!</v>
      </c>
      <c r="HL1" t="e">
        <f>AND(#REF!,"AAAAAD6cbds=")</f>
        <v>#REF!</v>
      </c>
      <c r="HM1" t="e">
        <f>AND(#REF!,"AAAAAD6cbdw=")</f>
        <v>#REF!</v>
      </c>
      <c r="HN1" t="e">
        <f>AND(#REF!,"AAAAAD6cbd0=")</f>
        <v>#REF!</v>
      </c>
      <c r="HO1" t="e">
        <f>AND(#REF!,"AAAAAD6cbd4=")</f>
        <v>#REF!</v>
      </c>
      <c r="HP1" t="e">
        <f>AND(#REF!,"AAAAAD6cbd8=")</f>
        <v>#REF!</v>
      </c>
      <c r="HQ1" t="e">
        <f>IF(#REF!,"AAAAAD6cbeA=",0)</f>
        <v>#REF!</v>
      </c>
      <c r="HR1" t="e">
        <f>AND(#REF!,"AAAAAD6cbeE=")</f>
        <v>#REF!</v>
      </c>
      <c r="HS1" t="e">
        <f>AND(#REF!,"AAAAAD6cbeI=")</f>
        <v>#REF!</v>
      </c>
      <c r="HT1" t="e">
        <f>AND(#REF!,"AAAAAD6cbeM=")</f>
        <v>#REF!</v>
      </c>
      <c r="HU1" t="e">
        <f>AND(#REF!,"AAAAAD6cbeQ=")</f>
        <v>#REF!</v>
      </c>
      <c r="HV1" t="e">
        <f>AND(#REF!,"AAAAAD6cbeU=")</f>
        <v>#REF!</v>
      </c>
      <c r="HW1" t="e">
        <f>IF(#REF!,"AAAAAD6cbeY=",0)</f>
        <v>#REF!</v>
      </c>
      <c r="HX1" t="e">
        <f>AND(#REF!,"AAAAAD6cbec=")</f>
        <v>#REF!</v>
      </c>
      <c r="HY1" t="e">
        <f>AND(#REF!,"AAAAAD6cbeg=")</f>
        <v>#REF!</v>
      </c>
      <c r="HZ1" t="e">
        <f>AND(#REF!,"AAAAAD6cbek=")</f>
        <v>#REF!</v>
      </c>
      <c r="IA1" t="e">
        <f>AND(#REF!,"AAAAAD6cbeo=")</f>
        <v>#REF!</v>
      </c>
      <c r="IB1" t="e">
        <f>AND(#REF!,"AAAAAD6cbes=")</f>
        <v>#REF!</v>
      </c>
      <c r="IC1" t="e">
        <f>IF(#REF!,"AAAAAD6cbew=",0)</f>
        <v>#REF!</v>
      </c>
      <c r="ID1" t="e">
        <f>AND(#REF!,"AAAAAD6cbe0=")</f>
        <v>#REF!</v>
      </c>
      <c r="IE1" t="e">
        <f>AND(#REF!,"AAAAAD6cbe4=")</f>
        <v>#REF!</v>
      </c>
      <c r="IF1" t="e">
        <f>AND(#REF!,"AAAAAD6cbe8=")</f>
        <v>#REF!</v>
      </c>
      <c r="IG1" t="e">
        <f>AND(#REF!,"AAAAAD6cbfA=")</f>
        <v>#REF!</v>
      </c>
      <c r="IH1" t="e">
        <f>AND(#REF!,"AAAAAD6cbfE=")</f>
        <v>#REF!</v>
      </c>
      <c r="II1" t="e">
        <f>IF(#REF!,"AAAAAD6cbfI=",0)</f>
        <v>#REF!</v>
      </c>
      <c r="IJ1" t="e">
        <f>AND(#REF!,"AAAAAD6cbfM=")</f>
        <v>#REF!</v>
      </c>
      <c r="IK1" t="e">
        <f>AND(#REF!,"AAAAAD6cbfQ=")</f>
        <v>#REF!</v>
      </c>
      <c r="IL1" t="e">
        <f>AND(#REF!,"AAAAAD6cbfU=")</f>
        <v>#REF!</v>
      </c>
      <c r="IM1" t="e">
        <f>AND(#REF!,"AAAAAD6cbfY=")</f>
        <v>#REF!</v>
      </c>
      <c r="IN1" t="e">
        <f>AND(#REF!,"AAAAAD6cbfc=")</f>
        <v>#REF!</v>
      </c>
      <c r="IO1" t="e">
        <f>IF(#REF!,"AAAAAD6cbfg=",0)</f>
        <v>#REF!</v>
      </c>
      <c r="IP1" t="e">
        <f>AND(#REF!,"AAAAAD6cbfk=")</f>
        <v>#REF!</v>
      </c>
      <c r="IQ1" t="e">
        <f>AND(#REF!,"AAAAAD6cbfo=")</f>
        <v>#REF!</v>
      </c>
      <c r="IR1" t="e">
        <f>AND(#REF!,"AAAAAD6cbfs=")</f>
        <v>#REF!</v>
      </c>
      <c r="IS1" t="e">
        <f>AND(#REF!,"AAAAAD6cbfw=")</f>
        <v>#REF!</v>
      </c>
      <c r="IT1" t="e">
        <f>AND(#REF!,"AAAAAD6cbf0=")</f>
        <v>#REF!</v>
      </c>
      <c r="IU1" t="e">
        <f>IF(#REF!,"AAAAAD6cbf4=",0)</f>
        <v>#REF!</v>
      </c>
      <c r="IV1" t="e">
        <f>AND(#REF!,"AAAAAD6cbf8=")</f>
        <v>#REF!</v>
      </c>
    </row>
    <row r="2" spans="1:256">
      <c r="A2" t="e">
        <f>AND(#REF!,"AAAAAH+P7wA=")</f>
        <v>#REF!</v>
      </c>
      <c r="B2" t="e">
        <f>AND(#REF!,"AAAAAH+P7wE=")</f>
        <v>#REF!</v>
      </c>
      <c r="C2" t="e">
        <f>AND(#REF!,"AAAAAH+P7wI=")</f>
        <v>#REF!</v>
      </c>
      <c r="D2" t="e">
        <f>AND(#REF!,"AAAAAH+P7wM=")</f>
        <v>#REF!</v>
      </c>
      <c r="E2" t="e">
        <f>IF(#REF!,"AAAAAH+P7wQ=",0)</f>
        <v>#REF!</v>
      </c>
      <c r="F2" t="e">
        <f>IF(#REF!,"AAAAAH+P7wU=",0)</f>
        <v>#REF!</v>
      </c>
      <c r="G2" t="e">
        <f>IF(#REF!,"AAAAAH+P7wY=",0)</f>
        <v>#REF!</v>
      </c>
      <c r="H2" t="e">
        <f>IF(#REF!,"AAAAAH+P7wc=",0)</f>
        <v>#REF!</v>
      </c>
      <c r="I2" t="e">
        <f>IF(#REF!,"AAAAAH+P7wg=",0)</f>
        <v>#REF!</v>
      </c>
      <c r="J2" t="e">
        <f>IF(#REF!,"AAAAAH+P7wk=",0)</f>
        <v>#REF!</v>
      </c>
      <c r="K2" t="e">
        <f>AND(#REF!,"AAAAAH+P7wo=")</f>
        <v>#REF!</v>
      </c>
      <c r="L2" t="e">
        <f>IF(#REF!,"AAAAAH+P7ws=",0)</f>
        <v>#REF!</v>
      </c>
      <c r="M2" t="e">
        <f>IF(#REF!,"AAAAAH+P7ww=",0)</f>
        <v>#REF!</v>
      </c>
      <c r="N2" t="e">
        <f>IF(#REF!,"AAAAAH+P7w0=",0)</f>
        <v>#REF!</v>
      </c>
      <c r="O2" t="e">
        <f>IF(#REF!,"AAAAAH+P7w4=",0)</f>
        <v>#REF!</v>
      </c>
      <c r="P2" t="e">
        <f>IF(#REF!,"AAAAAH+P7w8=",0)</f>
        <v>#REF!</v>
      </c>
      <c r="Q2" t="e">
        <f>IF(#REF!,"AAAAAH+P7xA=",0)</f>
        <v>#REF!</v>
      </c>
      <c r="R2" t="e">
        <f>IF(#REF!,"AAAAAH+P7xE=",0)</f>
        <v>#REF!</v>
      </c>
      <c r="S2" t="e">
        <f>IF(#REF!,"AAAAAH+P7xI=",0)</f>
        <v>#REF!</v>
      </c>
      <c r="T2" t="e">
        <f>IF(#REF!,"AAAAAH+P7xM=",0)</f>
        <v>#REF!</v>
      </c>
      <c r="U2" t="e">
        <f>IF(#REF!,"AAAAAH+P7xQ=",0)</f>
        <v>#REF!</v>
      </c>
      <c r="V2" t="e">
        <f>IF(#REF!,"AAAAAH+P7xU=",0)</f>
        <v>#REF!</v>
      </c>
      <c r="W2" t="e">
        <f>IF(#REF!,"AAAAAH+P7xY=",0)</f>
        <v>#REF!</v>
      </c>
      <c r="X2" t="e">
        <f>IF(#REF!,"AAAAAH+P7xc=",0)</f>
        <v>#REF!</v>
      </c>
      <c r="Y2" t="e">
        <f>IF(#REF!,"AAAAAH+P7xg=",0)</f>
        <v>#REF!</v>
      </c>
      <c r="Z2" t="e">
        <f>IF(#REF!,"AAAAAH+P7xk=",0)</f>
        <v>#REF!</v>
      </c>
      <c r="AA2" t="e">
        <f>IF(#REF!,"AAAAAH+P7xo=",0)</f>
        <v>#REF!</v>
      </c>
      <c r="AB2" t="e">
        <f>IF(#REF!,"AAAAAH+P7xs=",0)</f>
        <v>#REF!</v>
      </c>
      <c r="AC2" t="e">
        <f>IF(#REF!,"AAAAAH+P7xw=",0)</f>
        <v>#REF!</v>
      </c>
      <c r="AD2" t="e">
        <f>IF(#REF!,"AAAAAH+P7x0=",0)</f>
        <v>#REF!</v>
      </c>
      <c r="AE2" t="e">
        <f>IF(#REF!,"AAAAAH+P7x4=",0)</f>
        <v>#REF!</v>
      </c>
      <c r="AF2" t="e">
        <f>IF(#REF!,"AAAAAH+P7x8=",0)</f>
        <v>#REF!</v>
      </c>
      <c r="AG2" t="e">
        <f>IF(#REF!,"AAAAAH+P7yA=",0)</f>
        <v>#REF!</v>
      </c>
      <c r="AH2" t="e">
        <f>IF(#REF!,"AAAAAH+P7yE=",0)</f>
        <v>#REF!</v>
      </c>
      <c r="AI2" t="e">
        <f>IF(#REF!,"AAAAAH+P7yI=",0)</f>
        <v>#REF!</v>
      </c>
      <c r="AJ2" t="e">
        <f>IF(#REF!,"AAAAAH+P7yM=",0)</f>
        <v>#REF!</v>
      </c>
      <c r="AK2" t="e">
        <f>IF(#REF!,"AAAAAH+P7yQ=",0)</f>
        <v>#REF!</v>
      </c>
      <c r="AL2" t="e">
        <f>IF(#REF!,"AAAAAH+P7yU=",0)</f>
        <v>#REF!</v>
      </c>
      <c r="AM2" t="e">
        <f>IF(#REF!,"AAAAAH+P7yY=",0)</f>
        <v>#REF!</v>
      </c>
      <c r="AN2" t="e">
        <f>IF(#REF!,"AAAAAH+P7yc=",0)</f>
        <v>#REF!</v>
      </c>
      <c r="AO2" t="e">
        <f>IF(#REF!,"AAAAAH+P7yg=",0)</f>
        <v>#REF!</v>
      </c>
      <c r="AP2" t="e">
        <f>IF(#REF!,"AAAAAH+P7yk=",0)</f>
        <v>#REF!</v>
      </c>
      <c r="AQ2" t="e">
        <f>IF(#REF!,"AAAAAH+P7yo=",0)</f>
        <v>#REF!</v>
      </c>
      <c r="AR2" t="e">
        <f>IF(#REF!,"AAAAAH+P7ys=",0)</f>
        <v>#REF!</v>
      </c>
      <c r="AS2" t="e">
        <f>IF(#REF!,"AAAAAH+P7yw=",0)</f>
        <v>#REF!</v>
      </c>
      <c r="AT2" t="e">
        <f>IF(#REF!,"AAAAAH+P7y0=",0)</f>
        <v>#REF!</v>
      </c>
      <c r="AU2" t="e">
        <f>IF(#REF!,"AAAAAH+P7y4=",0)</f>
        <v>#REF!</v>
      </c>
      <c r="AV2" t="e">
        <f>IF(#REF!,"AAAAAH+P7y8=",0)</f>
        <v>#REF!</v>
      </c>
      <c r="AW2" t="e">
        <f>IF(#REF!,"AAAAAH+P7zA=",0)</f>
        <v>#REF!</v>
      </c>
      <c r="AX2" t="e">
        <f>IF(#REF!,"AAAAAH+P7zE=",0)</f>
        <v>#REF!</v>
      </c>
      <c r="AY2" t="e">
        <f>IF(#REF!,"AAAAAH+P7zI=",0)</f>
        <v>#REF!</v>
      </c>
      <c r="AZ2" t="e">
        <f>IF(#REF!,"AAAAAH+P7zM=",0)</f>
        <v>#REF!</v>
      </c>
      <c r="BA2" t="e">
        <f>IF(#REF!,"AAAAAH+P7zQ=",0)</f>
        <v>#REF!</v>
      </c>
      <c r="BB2" t="e">
        <f>IF(#REF!,"AAAAAH+P7zU=",0)</f>
        <v>#REF!</v>
      </c>
      <c r="BC2" t="e">
        <f>IF(#REF!,"AAAAAH+P7zY=",0)</f>
        <v>#REF!</v>
      </c>
      <c r="BD2" t="e">
        <f>IF(#REF!,"AAAAAH+P7zc=",0)</f>
        <v>#REF!</v>
      </c>
      <c r="BE2" t="e">
        <f>IF(#REF!,"AAAAAH+P7zg=",0)</f>
        <v>#REF!</v>
      </c>
      <c r="BF2" t="e">
        <f>IF(#REF!,"AAAAAH+P7zk=",0)</f>
        <v>#REF!</v>
      </c>
      <c r="BG2" t="e">
        <f>IF(#REF!,"AAAAAH+P7zo=",0)</f>
        <v>#REF!</v>
      </c>
      <c r="BH2" t="e">
        <f>IF(#REF!,"AAAAAH+P7zs=",0)</f>
        <v>#REF!</v>
      </c>
      <c r="BI2" t="e">
        <f>IF(#REF!,"AAAAAH+P7zw=",0)</f>
        <v>#REF!</v>
      </c>
      <c r="BJ2" t="e">
        <f>AND(#REF!,"AAAAAH+P7z0=")</f>
        <v>#REF!</v>
      </c>
      <c r="BK2" t="e">
        <f>AND(#REF!,"AAAAAH+P7z4=")</f>
        <v>#REF!</v>
      </c>
      <c r="BL2" t="e">
        <f>AND(#REF!,"AAAAAH+P7z8=")</f>
        <v>#REF!</v>
      </c>
      <c r="BM2" t="e">
        <f>AND(#REF!,"AAAAAH+P70A=")</f>
        <v>#REF!</v>
      </c>
      <c r="BN2" t="e">
        <f>AND(#REF!,"AAAAAH+P70E=")</f>
        <v>#REF!</v>
      </c>
      <c r="BO2" t="e">
        <f>AND(#REF!,"AAAAAH+P70I=")</f>
        <v>#REF!</v>
      </c>
      <c r="BP2" t="e">
        <f>AND(#REF!,"AAAAAH+P70M=")</f>
        <v>#REF!</v>
      </c>
      <c r="BQ2" t="e">
        <f>AND(#REF!,"AAAAAH+P70Q=")</f>
        <v>#REF!</v>
      </c>
      <c r="BR2" t="e">
        <f>AND(#REF!,"AAAAAH+P70U=")</f>
        <v>#REF!</v>
      </c>
      <c r="BS2" t="e">
        <f>IF(#REF!,"AAAAAH+P70Y=",0)</f>
        <v>#REF!</v>
      </c>
      <c r="BT2" t="e">
        <f>AND(#REF!,"AAAAAH+P70c=")</f>
        <v>#REF!</v>
      </c>
      <c r="BU2" t="e">
        <f>AND(#REF!,"AAAAAH+P70g=")</f>
        <v>#REF!</v>
      </c>
      <c r="BV2" t="e">
        <f>AND(#REF!,"AAAAAH+P70k=")</f>
        <v>#REF!</v>
      </c>
      <c r="BW2" t="e">
        <f>AND(#REF!,"AAAAAH+P70o=")</f>
        <v>#REF!</v>
      </c>
      <c r="BX2" t="e">
        <f>AND(#REF!,"AAAAAH+P70s=")</f>
        <v>#REF!</v>
      </c>
      <c r="BY2" t="e">
        <f>AND(#REF!,"AAAAAH+P70w=")</f>
        <v>#REF!</v>
      </c>
      <c r="BZ2" t="e">
        <f>AND(#REF!,"AAAAAH+P700=")</f>
        <v>#REF!</v>
      </c>
      <c r="CA2" t="e">
        <f>AND(#REF!,"AAAAAH+P704=")</f>
        <v>#REF!</v>
      </c>
      <c r="CB2" t="e">
        <f>AND(#REF!,"AAAAAH+P708=")</f>
        <v>#REF!</v>
      </c>
      <c r="CC2" t="e">
        <f>IF(#REF!,"AAAAAH+P71A=",0)</f>
        <v>#REF!</v>
      </c>
      <c r="CD2" t="e">
        <f>AND(#REF!,"AAAAAH+P71E=")</f>
        <v>#REF!</v>
      </c>
      <c r="CE2" t="e">
        <f>AND(#REF!,"AAAAAH+P71I=")</f>
        <v>#REF!</v>
      </c>
      <c r="CF2" t="e">
        <f>AND(#REF!,"AAAAAH+P71M=")</f>
        <v>#REF!</v>
      </c>
      <c r="CG2" t="e">
        <f>AND(#REF!,"AAAAAH+P71Q=")</f>
        <v>#REF!</v>
      </c>
      <c r="CH2" t="e">
        <f>AND(#REF!,"AAAAAH+P71U=")</f>
        <v>#REF!</v>
      </c>
      <c r="CI2" t="e">
        <f>AND(#REF!,"AAAAAH+P71Y=")</f>
        <v>#REF!</v>
      </c>
      <c r="CJ2" t="e">
        <f>AND(#REF!,"AAAAAH+P71c=")</f>
        <v>#REF!</v>
      </c>
      <c r="CK2" t="e">
        <f>AND(#REF!,"AAAAAH+P71g=")</f>
        <v>#REF!</v>
      </c>
      <c r="CL2" t="e">
        <f>AND(#REF!,"AAAAAH+P71k=")</f>
        <v>#REF!</v>
      </c>
      <c r="CM2" t="e">
        <f>IF(#REF!,"AAAAAH+P71o=",0)</f>
        <v>#REF!</v>
      </c>
      <c r="CN2" t="e">
        <f>AND(#REF!,"AAAAAH+P71s=")</f>
        <v>#REF!</v>
      </c>
      <c r="CO2" t="e">
        <f>AND(#REF!,"AAAAAH+P71w=")</f>
        <v>#REF!</v>
      </c>
      <c r="CP2" t="e">
        <f>AND(#REF!,"AAAAAH+P710=")</f>
        <v>#REF!</v>
      </c>
      <c r="CQ2" t="e">
        <f>AND(#REF!,"AAAAAH+P714=")</f>
        <v>#REF!</v>
      </c>
      <c r="CR2" t="e">
        <f>AND(#REF!,"AAAAAH+P718=")</f>
        <v>#REF!</v>
      </c>
      <c r="CS2" t="e">
        <f>AND(#REF!,"AAAAAH+P72A=")</f>
        <v>#REF!</v>
      </c>
      <c r="CT2" t="e">
        <f>AND(#REF!,"AAAAAH+P72E=")</f>
        <v>#REF!</v>
      </c>
      <c r="CU2" t="e">
        <f>AND(#REF!,"AAAAAH+P72I=")</f>
        <v>#REF!</v>
      </c>
      <c r="CV2" t="e">
        <f>AND(#REF!,"AAAAAH+P72M=")</f>
        <v>#REF!</v>
      </c>
      <c r="CW2" t="e">
        <f>IF(#REF!,"AAAAAH+P72Q=",0)</f>
        <v>#REF!</v>
      </c>
      <c r="CX2" t="e">
        <f>AND(#REF!,"AAAAAH+P72U=")</f>
        <v>#REF!</v>
      </c>
      <c r="CY2" t="e">
        <f>AND(#REF!,"AAAAAH+P72Y=")</f>
        <v>#REF!</v>
      </c>
      <c r="CZ2" t="e">
        <f>AND(#REF!,"AAAAAH+P72c=")</f>
        <v>#REF!</v>
      </c>
      <c r="DA2" t="e">
        <f>AND(#REF!,"AAAAAH+P72g=")</f>
        <v>#REF!</v>
      </c>
      <c r="DB2" t="e">
        <f>AND(#REF!,"AAAAAH+P72k=")</f>
        <v>#REF!</v>
      </c>
      <c r="DC2" t="e">
        <f>AND(#REF!,"AAAAAH+P72o=")</f>
        <v>#REF!</v>
      </c>
      <c r="DD2" t="e">
        <f>AND(#REF!,"AAAAAH+P72s=")</f>
        <v>#REF!</v>
      </c>
      <c r="DE2" t="e">
        <f>AND(#REF!,"AAAAAH+P72w=")</f>
        <v>#REF!</v>
      </c>
      <c r="DF2" t="e">
        <f>AND(#REF!,"AAAAAH+P720=")</f>
        <v>#REF!</v>
      </c>
      <c r="DG2" t="e">
        <f>IF(#REF!,"AAAAAH+P724=",0)</f>
        <v>#REF!</v>
      </c>
      <c r="DH2" t="e">
        <f>AND(#REF!,"AAAAAH+P728=")</f>
        <v>#REF!</v>
      </c>
      <c r="DI2" t="e">
        <f>AND(#REF!,"AAAAAH+P73A=")</f>
        <v>#REF!</v>
      </c>
      <c r="DJ2" t="e">
        <f>AND(#REF!,"AAAAAH+P73E=")</f>
        <v>#REF!</v>
      </c>
      <c r="DK2" t="e">
        <f>AND(#REF!,"AAAAAH+P73I=")</f>
        <v>#REF!</v>
      </c>
      <c r="DL2" t="e">
        <f>AND(#REF!,"AAAAAH+P73M=")</f>
        <v>#REF!</v>
      </c>
      <c r="DM2" t="e">
        <f>AND(#REF!,"AAAAAH+P73Q=")</f>
        <v>#REF!</v>
      </c>
      <c r="DN2" t="e">
        <f>AND(#REF!,"AAAAAH+P73U=")</f>
        <v>#REF!</v>
      </c>
      <c r="DO2" t="e">
        <f>AND(#REF!,"AAAAAH+P73Y=")</f>
        <v>#REF!</v>
      </c>
      <c r="DP2" t="e">
        <f>AND(#REF!,"AAAAAH+P73c=")</f>
        <v>#REF!</v>
      </c>
      <c r="DQ2" t="e">
        <f>IF(#REF!,"AAAAAH+P73g=",0)</f>
        <v>#REF!</v>
      </c>
      <c r="DR2" t="e">
        <f>AND(#REF!,"AAAAAH+P73k=")</f>
        <v>#REF!</v>
      </c>
      <c r="DS2" t="e">
        <f>AND(#REF!,"AAAAAH+P73o=")</f>
        <v>#REF!</v>
      </c>
      <c r="DT2" t="e">
        <f>AND(#REF!,"AAAAAH+P73s=")</f>
        <v>#REF!</v>
      </c>
      <c r="DU2" t="e">
        <f>AND(#REF!,"AAAAAH+P73w=")</f>
        <v>#REF!</v>
      </c>
      <c r="DV2" t="e">
        <f>AND(#REF!,"AAAAAH+P730=")</f>
        <v>#REF!</v>
      </c>
      <c r="DW2" t="e">
        <f>AND(#REF!,"AAAAAH+P734=")</f>
        <v>#REF!</v>
      </c>
      <c r="DX2" t="e">
        <f>AND(#REF!,"AAAAAH+P738=")</f>
        <v>#REF!</v>
      </c>
      <c r="DY2" t="e">
        <f>AND(#REF!,"AAAAAH+P74A=")</f>
        <v>#REF!</v>
      </c>
      <c r="DZ2" t="e">
        <f>AND(#REF!,"AAAAAH+P74E=")</f>
        <v>#REF!</v>
      </c>
      <c r="EA2" t="e">
        <f>IF(#REF!,"AAAAAH+P74I=",0)</f>
        <v>#REF!</v>
      </c>
      <c r="EB2" t="e">
        <f>AND(#REF!,"AAAAAH+P74M=")</f>
        <v>#REF!</v>
      </c>
      <c r="EC2" t="e">
        <f>AND(#REF!,"AAAAAH+P74Q=")</f>
        <v>#REF!</v>
      </c>
      <c r="ED2" t="e">
        <f>AND(#REF!,"AAAAAH+P74U=")</f>
        <v>#REF!</v>
      </c>
      <c r="EE2" t="e">
        <f>AND(#REF!,"AAAAAH+P74Y=")</f>
        <v>#REF!</v>
      </c>
      <c r="EF2" t="e">
        <f>AND(#REF!,"AAAAAH+P74c=")</f>
        <v>#REF!</v>
      </c>
      <c r="EG2" t="e">
        <f>AND(#REF!,"AAAAAH+P74g=")</f>
        <v>#REF!</v>
      </c>
      <c r="EH2" t="e">
        <f>AND(#REF!,"AAAAAH+P74k=")</f>
        <v>#REF!</v>
      </c>
      <c r="EI2" t="e">
        <f>AND(#REF!,"AAAAAH+P74o=")</f>
        <v>#REF!</v>
      </c>
      <c r="EJ2" t="e">
        <f>AND(#REF!,"AAAAAH+P74s=")</f>
        <v>#REF!</v>
      </c>
      <c r="EK2" t="e">
        <f>IF(#REF!,"AAAAAH+P74w=",0)</f>
        <v>#REF!</v>
      </c>
      <c r="EL2" t="e">
        <f>AND(#REF!,"AAAAAH+P740=")</f>
        <v>#REF!</v>
      </c>
      <c r="EM2" t="e">
        <f>AND(#REF!,"AAAAAH+P744=")</f>
        <v>#REF!</v>
      </c>
      <c r="EN2" t="e">
        <f>AND(#REF!,"AAAAAH+P748=")</f>
        <v>#REF!</v>
      </c>
      <c r="EO2" t="e">
        <f>AND(#REF!,"AAAAAH+P75A=")</f>
        <v>#REF!</v>
      </c>
      <c r="EP2" t="e">
        <f>AND(#REF!,"AAAAAH+P75E=")</f>
        <v>#REF!</v>
      </c>
      <c r="EQ2" t="e">
        <f>AND(#REF!,"AAAAAH+P75I=")</f>
        <v>#REF!</v>
      </c>
      <c r="ER2" t="e">
        <f>AND(#REF!,"AAAAAH+P75M=")</f>
        <v>#REF!</v>
      </c>
      <c r="ES2" t="e">
        <f>AND(#REF!,"AAAAAH+P75Q=")</f>
        <v>#REF!</v>
      </c>
      <c r="ET2" t="e">
        <f>AND(#REF!,"AAAAAH+P75U=")</f>
        <v>#REF!</v>
      </c>
      <c r="EU2" t="e">
        <f>IF(#REF!,"AAAAAH+P75Y=",0)</f>
        <v>#REF!</v>
      </c>
      <c r="EV2" t="e">
        <f>AND(#REF!,"AAAAAH+P75c=")</f>
        <v>#REF!</v>
      </c>
      <c r="EW2" t="e">
        <f>AND(#REF!,"AAAAAH+P75g=")</f>
        <v>#REF!</v>
      </c>
      <c r="EX2" t="e">
        <f>AND(#REF!,"AAAAAH+P75k=")</f>
        <v>#REF!</v>
      </c>
      <c r="EY2" t="e">
        <f>AND(#REF!,"AAAAAH+P75o=")</f>
        <v>#REF!</v>
      </c>
      <c r="EZ2" t="e">
        <f>AND(#REF!,"AAAAAH+P75s=")</f>
        <v>#REF!</v>
      </c>
      <c r="FA2" t="e">
        <f>AND(#REF!,"AAAAAH+P75w=")</f>
        <v>#REF!</v>
      </c>
      <c r="FB2" t="e">
        <f>AND(#REF!,"AAAAAH+P750=")</f>
        <v>#REF!</v>
      </c>
      <c r="FC2" t="e">
        <f>AND(#REF!,"AAAAAH+P754=")</f>
        <v>#REF!</v>
      </c>
      <c r="FD2" t="e">
        <f>AND(#REF!,"AAAAAH+P758=")</f>
        <v>#REF!</v>
      </c>
      <c r="FE2" t="e">
        <f>IF(#REF!,"AAAAAH+P76A=",0)</f>
        <v>#REF!</v>
      </c>
      <c r="FF2" t="e">
        <f>AND(#REF!,"AAAAAH+P76E=")</f>
        <v>#REF!</v>
      </c>
      <c r="FG2" t="e">
        <f>AND(#REF!,"AAAAAH+P76I=")</f>
        <v>#REF!</v>
      </c>
      <c r="FH2" t="e">
        <f>AND(#REF!,"AAAAAH+P76M=")</f>
        <v>#REF!</v>
      </c>
      <c r="FI2" t="e">
        <f>AND(#REF!,"AAAAAH+P76Q=")</f>
        <v>#REF!</v>
      </c>
      <c r="FJ2" t="e">
        <f>AND(#REF!,"AAAAAH+P76U=")</f>
        <v>#REF!</v>
      </c>
      <c r="FK2" t="e">
        <f>AND(#REF!,"AAAAAH+P76Y=")</f>
        <v>#REF!</v>
      </c>
      <c r="FL2" t="e">
        <f>AND(#REF!,"AAAAAH+P76c=")</f>
        <v>#REF!</v>
      </c>
      <c r="FM2" t="e">
        <f>AND(#REF!,"AAAAAH+P76g=")</f>
        <v>#REF!</v>
      </c>
      <c r="FN2" t="e">
        <f>AND(#REF!,"AAAAAH+P76k=")</f>
        <v>#REF!</v>
      </c>
      <c r="FO2" t="e">
        <f>IF(#REF!,"AAAAAH+P76o=",0)</f>
        <v>#REF!</v>
      </c>
      <c r="FP2" t="e">
        <f>AND(#REF!,"AAAAAH+P76s=")</f>
        <v>#REF!</v>
      </c>
      <c r="FQ2" t="e">
        <f>AND(#REF!,"AAAAAH+P76w=")</f>
        <v>#REF!</v>
      </c>
      <c r="FR2" t="e">
        <f>AND(#REF!,"AAAAAH+P760=")</f>
        <v>#REF!</v>
      </c>
      <c r="FS2" t="e">
        <f>AND(#REF!,"AAAAAH+P764=")</f>
        <v>#REF!</v>
      </c>
      <c r="FT2" t="e">
        <f>AND(#REF!,"AAAAAH+P768=")</f>
        <v>#REF!</v>
      </c>
      <c r="FU2" t="e">
        <f>AND(#REF!,"AAAAAH+P77A=")</f>
        <v>#REF!</v>
      </c>
      <c r="FV2" t="e">
        <f>AND(#REF!,"AAAAAH+P77E=")</f>
        <v>#REF!</v>
      </c>
      <c r="FW2" t="e">
        <f>AND(#REF!,"AAAAAH+P77I=")</f>
        <v>#REF!</v>
      </c>
      <c r="FX2" t="e">
        <f>AND(#REF!,"AAAAAH+P77M=")</f>
        <v>#REF!</v>
      </c>
      <c r="FY2" t="e">
        <f>IF(#REF!,"AAAAAH+P77Q=",0)</f>
        <v>#REF!</v>
      </c>
      <c r="FZ2" t="e">
        <f>AND(#REF!,"AAAAAH+P77U=")</f>
        <v>#REF!</v>
      </c>
      <c r="GA2" t="e">
        <f>IF(#REF!,"AAAAAH+P77Y=",0)</f>
        <v>#REF!</v>
      </c>
      <c r="GB2" t="e">
        <f>IF(#REF!,"AAAAAH+P77c=",0)</f>
        <v>#REF!</v>
      </c>
      <c r="GC2" t="e">
        <f>IF(#REF!,"AAAAAH+P77g=",0)</f>
        <v>#REF!</v>
      </c>
      <c r="GD2" t="e">
        <f>IF(#REF!,"AAAAAH+P77k=",0)</f>
        <v>#REF!</v>
      </c>
      <c r="GE2" t="e">
        <f>IF(#REF!,"AAAAAH+P77o=",0)</f>
        <v>#REF!</v>
      </c>
      <c r="GF2" t="e">
        <f>IF(#REF!,"AAAAAH+P77s=",0)</f>
        <v>#REF!</v>
      </c>
      <c r="GG2" t="e">
        <f>IF(#REF!,"AAAAAH+P77w=",0)</f>
        <v>#REF!</v>
      </c>
      <c r="GH2" t="e">
        <f>IF(#REF!,"AAAAAH+P770=",0)</f>
        <v>#REF!</v>
      </c>
      <c r="GI2" t="e">
        <f>IF(#REF!,"AAAAAH+P774=",0)</f>
        <v>#REF!</v>
      </c>
      <c r="GJ2" t="e">
        <f>IF(#REF!,"AAAAAH+P778=",0)</f>
        <v>#REF!</v>
      </c>
      <c r="GK2" t="e">
        <f>AND(#REF!,"AAAAAH+P78A=")</f>
        <v>#REF!</v>
      </c>
      <c r="GL2" t="e">
        <f>AND(#REF!,"AAAAAH+P78E=")</f>
        <v>#REF!</v>
      </c>
      <c r="GM2" t="e">
        <f>AND(#REF!,"AAAAAH+P78I=")</f>
        <v>#REF!</v>
      </c>
      <c r="GN2" t="e">
        <f>AND(#REF!,"AAAAAH+P78M=")</f>
        <v>#REF!</v>
      </c>
      <c r="GO2" t="e">
        <f>AND(#REF!,"AAAAAH+P78Q=")</f>
        <v>#REF!</v>
      </c>
      <c r="GP2" t="e">
        <f>AND(#REF!,"AAAAAH+P78U=")</f>
        <v>#REF!</v>
      </c>
      <c r="GQ2" t="e">
        <f>AND(#REF!,"AAAAAH+P78Y=")</f>
        <v>#REF!</v>
      </c>
      <c r="GR2" t="e">
        <f>AND(#REF!,"AAAAAH+P78c=")</f>
        <v>#REF!</v>
      </c>
      <c r="GS2" t="e">
        <f>AND(#REF!,"AAAAAH+P78g=")</f>
        <v>#REF!</v>
      </c>
      <c r="GT2" t="e">
        <f>AND(#REF!,"AAAAAH+P78k=")</f>
        <v>#REF!</v>
      </c>
      <c r="GU2" t="e">
        <f>AND(#REF!,"AAAAAH+P78o=")</f>
        <v>#REF!</v>
      </c>
      <c r="GV2" t="e">
        <f>AND(#REF!,"AAAAAH+P78s=")</f>
        <v>#REF!</v>
      </c>
      <c r="GW2" t="e">
        <f>IF(#REF!,"AAAAAH+P78w=",0)</f>
        <v>#REF!</v>
      </c>
      <c r="GX2" t="e">
        <f>AND(#REF!,"AAAAAH+P780=")</f>
        <v>#REF!</v>
      </c>
      <c r="GY2" t="e">
        <f>AND(#REF!,"AAAAAH+P784=")</f>
        <v>#REF!</v>
      </c>
      <c r="GZ2" t="e">
        <f>AND(#REF!,"AAAAAH+P788=")</f>
        <v>#REF!</v>
      </c>
      <c r="HA2" t="e">
        <f>AND(#REF!,"AAAAAH+P79A=")</f>
        <v>#REF!</v>
      </c>
      <c r="HB2" t="e">
        <f>AND(#REF!,"AAAAAH+P79E=")</f>
        <v>#REF!</v>
      </c>
      <c r="HC2" t="e">
        <f>AND(#REF!,"AAAAAH+P79I=")</f>
        <v>#REF!</v>
      </c>
      <c r="HD2" t="e">
        <f>AND(#REF!,"AAAAAH+P79M=")</f>
        <v>#REF!</v>
      </c>
      <c r="HE2" t="e">
        <f>AND(#REF!,"AAAAAH+P79Q=")</f>
        <v>#REF!</v>
      </c>
      <c r="HF2" t="e">
        <f>AND(#REF!,"AAAAAH+P79U=")</f>
        <v>#REF!</v>
      </c>
      <c r="HG2" t="e">
        <f>AND(#REF!,"AAAAAH+P79Y=")</f>
        <v>#REF!</v>
      </c>
      <c r="HH2" t="e">
        <f>AND(#REF!,"AAAAAH+P79c=")</f>
        <v>#REF!</v>
      </c>
      <c r="HI2" t="e">
        <f>AND(#REF!,"AAAAAH+P79g=")</f>
        <v>#REF!</v>
      </c>
      <c r="HJ2" t="e">
        <f>IF(#REF!,"AAAAAH+P79k=",0)</f>
        <v>#REF!</v>
      </c>
      <c r="HK2" t="e">
        <f>AND(#REF!,"AAAAAH+P79o=")</f>
        <v>#REF!</v>
      </c>
      <c r="HL2" t="e">
        <f>AND(#REF!,"AAAAAH+P79s=")</f>
        <v>#REF!</v>
      </c>
      <c r="HM2" t="e">
        <f>AND(#REF!,"AAAAAH+P79w=")</f>
        <v>#REF!</v>
      </c>
      <c r="HN2" t="e">
        <f>AND(#REF!,"AAAAAH+P790=")</f>
        <v>#REF!</v>
      </c>
      <c r="HO2" t="e">
        <f>AND(#REF!,"AAAAAH+P794=")</f>
        <v>#REF!</v>
      </c>
      <c r="HP2" t="e">
        <f>AND(#REF!,"AAAAAH+P798=")</f>
        <v>#REF!</v>
      </c>
      <c r="HQ2" t="e">
        <f>AND(#REF!,"AAAAAH+P7+A=")</f>
        <v>#REF!</v>
      </c>
      <c r="HR2" t="e">
        <f>AND(#REF!,"AAAAAH+P7+E=")</f>
        <v>#REF!</v>
      </c>
      <c r="HS2" t="e">
        <f>AND(#REF!,"AAAAAH+P7+I=")</f>
        <v>#REF!</v>
      </c>
      <c r="HT2" t="e">
        <f>AND(#REF!,"AAAAAH+P7+M=")</f>
        <v>#REF!</v>
      </c>
      <c r="HU2" t="e">
        <f>AND(#REF!,"AAAAAH+P7+Q=")</f>
        <v>#REF!</v>
      </c>
      <c r="HV2" t="e">
        <f>AND(#REF!,"AAAAAH+P7+U=")</f>
        <v>#REF!</v>
      </c>
      <c r="HW2" t="e">
        <f>IF(#REF!,"AAAAAH+P7+Y=",0)</f>
        <v>#REF!</v>
      </c>
      <c r="HX2" t="e">
        <f>IF(#REF!,"AAAAAH+P7+c=",0)</f>
        <v>#REF!</v>
      </c>
      <c r="HY2" t="e">
        <f>IF(#REF!,"AAAAAH+P7+g=",0)</f>
        <v>#REF!</v>
      </c>
      <c r="HZ2" t="e">
        <f>IF(#REF!,"AAAAAH+P7+k=",0)</f>
        <v>#REF!</v>
      </c>
      <c r="IA2" t="e">
        <f>IF(#REF!,"AAAAAH+P7+o=",0)</f>
        <v>#REF!</v>
      </c>
      <c r="IB2" t="e">
        <f>IF(#REF!,"AAAAAH+P7+s=",0)</f>
        <v>#REF!</v>
      </c>
      <c r="IC2" t="e">
        <f>IF(#REF!,"AAAAAH+P7+w=",0)</f>
        <v>#REF!</v>
      </c>
      <c r="ID2" t="e">
        <f>IF(#REF!,"AAAAAH+P7+0=",0)</f>
        <v>#REF!</v>
      </c>
      <c r="IE2" t="e">
        <f>IF(#REF!,"AAAAAH+P7+4=",0)</f>
        <v>#REF!</v>
      </c>
      <c r="IF2" t="e">
        <f>IF(#REF!,"AAAAAH+P7+8=",0)</f>
        <v>#REF!</v>
      </c>
      <c r="IG2" t="e">
        <f>IF(#REF!,"AAAAAH+P7/A=",0)</f>
        <v>#REF!</v>
      </c>
      <c r="IH2" t="e">
        <f>IF(#REF!,"AAAAAH+P7/E=",0)</f>
        <v>#REF!</v>
      </c>
      <c r="II2" t="e">
        <f>IF(#REF!,"AAAAAH+P7/I=",0)</f>
        <v>#REF!</v>
      </c>
      <c r="IJ2" t="e">
        <f>IF(#REF!,"AAAAAH+P7/M=",0)</f>
        <v>#REF!</v>
      </c>
      <c r="IK2" t="e">
        <f>IF(#REF!,"AAAAAH+P7/Q=",0)</f>
        <v>#REF!</v>
      </c>
      <c r="IL2" t="e">
        <f>IF(#REF!,"AAAAAH+P7/U=",0)</f>
        <v>#REF!</v>
      </c>
      <c r="IM2" t="e">
        <f>IF(#REF!,"AAAAAH+P7/Y=",0)</f>
        <v>#REF!</v>
      </c>
      <c r="IN2" t="e">
        <f>IF(#REF!,"AAAAAH+P7/c=",0)</f>
        <v>#REF!</v>
      </c>
      <c r="IO2" t="e">
        <f>IF(#REF!,"AAAAAH+P7/g=",0)</f>
        <v>#REF!</v>
      </c>
      <c r="IP2" t="e">
        <f>IF(#REF!,"AAAAAH+P7/k=",0)</f>
        <v>#REF!</v>
      </c>
      <c r="IQ2" t="e">
        <f>IF(#REF!,"AAAAAH+P7/o=",0)</f>
        <v>#REF!</v>
      </c>
      <c r="IR2" t="e">
        <f>IF(#REF!,"AAAAAH+P7/s=",0)</f>
        <v>#REF!</v>
      </c>
      <c r="IS2" t="e">
        <f>IF(#REF!,"AAAAAH+P7/w=",0)</f>
        <v>#REF!</v>
      </c>
      <c r="IT2" t="e">
        <f>IF(#REF!,"AAAAAH+P7/0=",0)</f>
        <v>#REF!</v>
      </c>
      <c r="IU2" t="e">
        <f>IF(#REF!,"AAAAAH+P7/4=",0)</f>
        <v>#REF!</v>
      </c>
      <c r="IV2" t="e">
        <f>AND(#REF!,"AAAAAH+P7/8=")</f>
        <v>#REF!</v>
      </c>
    </row>
    <row r="3" spans="1:256">
      <c r="A3" t="e">
        <f>AND(#REF!,"AAAAAH///wA=")</f>
        <v>#REF!</v>
      </c>
      <c r="B3" t="e">
        <f>AND(#REF!,"AAAAAH///wE=")</f>
        <v>#REF!</v>
      </c>
      <c r="C3" t="e">
        <f>AND(#REF!,"AAAAAH///wI=")</f>
        <v>#REF!</v>
      </c>
      <c r="D3" t="e">
        <f>IF(#REF!,"AAAAAH///wM=",0)</f>
        <v>#REF!</v>
      </c>
      <c r="E3" t="e">
        <f>AND(#REF!,"AAAAAH///wQ=")</f>
        <v>#REF!</v>
      </c>
      <c r="F3" t="e">
        <f>AND(#REF!,"AAAAAH///wU=")</f>
        <v>#REF!</v>
      </c>
      <c r="G3" t="e">
        <f>AND(#REF!,"AAAAAH///wY=")</f>
        <v>#REF!</v>
      </c>
      <c r="H3" t="e">
        <f>AND(#REF!,"AAAAAH///wc=")</f>
        <v>#REF!</v>
      </c>
      <c r="I3" t="e">
        <f>IF(#REF!,"AAAAAH///wg=",0)</f>
        <v>#REF!</v>
      </c>
      <c r="J3" t="e">
        <f>AND(#REF!,"AAAAAH///wk=")</f>
        <v>#REF!</v>
      </c>
      <c r="K3" t="e">
        <f>AND(#REF!,"AAAAAH///wo=")</f>
        <v>#REF!</v>
      </c>
      <c r="L3" t="e">
        <f>AND(#REF!,"AAAAAH///ws=")</f>
        <v>#REF!</v>
      </c>
      <c r="M3" t="e">
        <f>AND(#REF!,"AAAAAH///ww=")</f>
        <v>#REF!</v>
      </c>
      <c r="N3" t="e">
        <f>IF(#REF!,"AAAAAH///w0=",0)</f>
        <v>#REF!</v>
      </c>
      <c r="O3" t="e">
        <f>AND(#REF!,"AAAAAH///w4=")</f>
        <v>#REF!</v>
      </c>
      <c r="P3" t="e">
        <f>AND(#REF!,"AAAAAH///w8=")</f>
        <v>#REF!</v>
      </c>
      <c r="Q3" t="e">
        <f>AND(#REF!,"AAAAAH///xA=")</f>
        <v>#REF!</v>
      </c>
      <c r="R3" t="e">
        <f>AND(#REF!,"AAAAAH///xE=")</f>
        <v>#REF!</v>
      </c>
      <c r="S3" t="e">
        <f>IF(#REF!,"AAAAAH///xI=",0)</f>
        <v>#REF!</v>
      </c>
      <c r="T3" t="e">
        <f>AND(#REF!,"AAAAAH///xM=")</f>
        <v>#REF!</v>
      </c>
      <c r="U3" t="e">
        <f>AND(#REF!,"AAAAAH///xQ=")</f>
        <v>#REF!</v>
      </c>
      <c r="V3" t="e">
        <f>AND(#REF!,"AAAAAH///xU=")</f>
        <v>#REF!</v>
      </c>
      <c r="W3" t="e">
        <f>AND(#REF!,"AAAAAH///xY=")</f>
        <v>#REF!</v>
      </c>
      <c r="X3" t="e">
        <f>IF(#REF!,"AAAAAH///xc=",0)</f>
        <v>#REF!</v>
      </c>
      <c r="Y3" t="e">
        <f>AND(#REF!,"AAAAAH///xg=")</f>
        <v>#REF!</v>
      </c>
      <c r="Z3" t="e">
        <f>AND(#REF!,"AAAAAH///xk=")</f>
        <v>#REF!</v>
      </c>
      <c r="AA3" t="e">
        <f>AND(#REF!,"AAAAAH///xo=")</f>
        <v>#REF!</v>
      </c>
      <c r="AB3" t="e">
        <f>AND(#REF!,"AAAAAH///xs=")</f>
        <v>#REF!</v>
      </c>
      <c r="AC3" t="e">
        <f>IF(#REF!,"AAAAAH///xw=",0)</f>
        <v>#REF!</v>
      </c>
      <c r="AD3" t="e">
        <f>AND(#REF!,"AAAAAH///x0=")</f>
        <v>#REF!</v>
      </c>
      <c r="AE3" t="e">
        <f>AND(#REF!,"AAAAAH///x4=")</f>
        <v>#REF!</v>
      </c>
      <c r="AF3" t="e">
        <f>AND(#REF!,"AAAAAH///x8=")</f>
        <v>#REF!</v>
      </c>
      <c r="AG3" t="e">
        <f>AND(#REF!,"AAAAAH///yA=")</f>
        <v>#REF!</v>
      </c>
      <c r="AH3" t="e">
        <f>IF(#REF!,"AAAAAH///yE=",0)</f>
        <v>#REF!</v>
      </c>
      <c r="AI3" t="e">
        <f>AND(#REF!,"AAAAAH///yI=")</f>
        <v>#REF!</v>
      </c>
      <c r="AJ3" t="e">
        <f>AND(#REF!,"AAAAAH///yM=")</f>
        <v>#REF!</v>
      </c>
      <c r="AK3" t="e">
        <f>AND(#REF!,"AAAAAH///yQ=")</f>
        <v>#REF!</v>
      </c>
      <c r="AL3" t="e">
        <f>AND(#REF!,"AAAAAH///yU=")</f>
        <v>#REF!</v>
      </c>
      <c r="AM3" t="e">
        <f>IF(#REF!,"AAAAAH///yY=",0)</f>
        <v>#REF!</v>
      </c>
      <c r="AN3" t="e">
        <f>AND(#REF!,"AAAAAH///yc=")</f>
        <v>#REF!</v>
      </c>
      <c r="AO3" t="e">
        <f>AND(#REF!,"AAAAAH///yg=")</f>
        <v>#REF!</v>
      </c>
      <c r="AP3" t="e">
        <f>AND(#REF!,"AAAAAH///yk=")</f>
        <v>#REF!</v>
      </c>
      <c r="AQ3" t="e">
        <f>AND(#REF!,"AAAAAH///yo=")</f>
        <v>#REF!</v>
      </c>
      <c r="AR3" t="e">
        <f>IF(#REF!,"AAAAAH///ys=",0)</f>
        <v>#REF!</v>
      </c>
      <c r="AS3" t="e">
        <f>AND(#REF!,"AAAAAH///yw=")</f>
        <v>#REF!</v>
      </c>
      <c r="AT3" t="e">
        <f>AND(#REF!,"AAAAAH///y0=")</f>
        <v>#REF!</v>
      </c>
      <c r="AU3" t="e">
        <f>AND(#REF!,"AAAAAH///y4=")</f>
        <v>#REF!</v>
      </c>
      <c r="AV3" t="e">
        <f>AND(#REF!,"AAAAAH///y8=")</f>
        <v>#REF!</v>
      </c>
      <c r="AW3" t="e">
        <f>IF(#REF!,"AAAAAH///zA=",0)</f>
        <v>#REF!</v>
      </c>
      <c r="AX3" t="e">
        <f>AND(#REF!,"AAAAAH///zE=")</f>
        <v>#REF!</v>
      </c>
      <c r="AY3" t="e">
        <f>AND(#REF!,"AAAAAH///zI=")</f>
        <v>#REF!</v>
      </c>
      <c r="AZ3" t="e">
        <f>AND(#REF!,"AAAAAH///zM=")</f>
        <v>#REF!</v>
      </c>
      <c r="BA3" t="e">
        <f>AND(#REF!,"AAAAAH///zQ=")</f>
        <v>#REF!</v>
      </c>
      <c r="BB3" t="e">
        <f>IF(#REF!,"AAAAAH///zU=",0)</f>
        <v>#REF!</v>
      </c>
      <c r="BC3" t="e">
        <f>AND(#REF!,"AAAAAH///zY=")</f>
        <v>#REF!</v>
      </c>
      <c r="BD3" t="e">
        <f>AND(#REF!,"AAAAAH///zc=")</f>
        <v>#REF!</v>
      </c>
      <c r="BE3" t="e">
        <f>AND(#REF!,"AAAAAH///zg=")</f>
        <v>#REF!</v>
      </c>
      <c r="BF3" t="e">
        <f>AND(#REF!,"AAAAAH///zk=")</f>
        <v>#REF!</v>
      </c>
      <c r="BG3" t="e">
        <f>IF(#REF!,"AAAAAH///zo=",0)</f>
        <v>#REF!</v>
      </c>
      <c r="BH3" t="e">
        <f>IF(#REF!,"AAAAAH///zs=",0)</f>
        <v>#REF!</v>
      </c>
      <c r="BI3" t="e">
        <f>IF(#REF!,"AAAAAH///zw=",0)</f>
        <v>#REF!</v>
      </c>
      <c r="BJ3" t="e">
        <f>IF(#REF!,"AAAAAH///z0=",0)</f>
        <v>#REF!</v>
      </c>
      <c r="BK3" t="e">
        <f>IF(#REF!,"AAAAAH///z4=",0)</f>
        <v>#REF!</v>
      </c>
      <c r="BL3" t="e">
        <f>AND(#REF!,"AAAAAH///z8=")</f>
        <v>#REF!</v>
      </c>
      <c r="BM3" t="e">
        <f>AND(#REF!,"AAAAAH///0A=")</f>
        <v>#REF!</v>
      </c>
      <c r="BN3" t="e">
        <f>AND(#REF!,"AAAAAH///0E=")</f>
        <v>#REF!</v>
      </c>
      <c r="BO3" t="e">
        <f>AND(#REF!,"AAAAAH///0I=")</f>
        <v>#REF!</v>
      </c>
      <c r="BP3" t="e">
        <f>AND(#REF!,"AAAAAH///0M=")</f>
        <v>#REF!</v>
      </c>
      <c r="BQ3" t="e">
        <f>AND(#REF!,"AAAAAH///0Q=")</f>
        <v>#REF!</v>
      </c>
      <c r="BR3" t="e">
        <f>AND(#REF!,"AAAAAH///0U=")</f>
        <v>#REF!</v>
      </c>
      <c r="BS3" t="e">
        <f>AND(#REF!,"AAAAAH///0Y=")</f>
        <v>#REF!</v>
      </c>
      <c r="BT3" t="e">
        <f>AND(#REF!,"AAAAAH///0c=")</f>
        <v>#REF!</v>
      </c>
      <c r="BU3" t="e">
        <f>IF(#REF!,"AAAAAH///0g=",0)</f>
        <v>#REF!</v>
      </c>
      <c r="BV3" t="e">
        <f>AND(#REF!,"AAAAAH///0k=")</f>
        <v>#REF!</v>
      </c>
      <c r="BW3" t="e">
        <f>AND(#REF!,"AAAAAH///0o=")</f>
        <v>#REF!</v>
      </c>
      <c r="BX3" t="e">
        <f>AND(#REF!,"AAAAAH///0s=")</f>
        <v>#REF!</v>
      </c>
      <c r="BY3" t="e">
        <f>AND(#REF!,"AAAAAH///0w=")</f>
        <v>#REF!</v>
      </c>
      <c r="BZ3" t="e">
        <f>AND(#REF!,"AAAAAH///00=")</f>
        <v>#REF!</v>
      </c>
      <c r="CA3" t="e">
        <f>AND(#REF!,"AAAAAH///04=")</f>
        <v>#REF!</v>
      </c>
      <c r="CB3" t="e">
        <f>AND(#REF!,"AAAAAH///08=")</f>
        <v>#REF!</v>
      </c>
      <c r="CC3" t="e">
        <f>AND(#REF!,"AAAAAH///1A=")</f>
        <v>#REF!</v>
      </c>
      <c r="CD3" t="e">
        <f>AND(#REF!,"AAAAAH///1E=")</f>
        <v>#REF!</v>
      </c>
      <c r="CE3" t="e">
        <f>IF(#REF!,"AAAAAH///1I=",0)</f>
        <v>#REF!</v>
      </c>
      <c r="CF3" t="e">
        <f>AND(#REF!,"AAAAAH///1M=")</f>
        <v>#REF!</v>
      </c>
      <c r="CG3" t="e">
        <f>AND(#REF!,"AAAAAH///1Q=")</f>
        <v>#REF!</v>
      </c>
      <c r="CH3" t="e">
        <f>AND(#REF!,"AAAAAH///1U=")</f>
        <v>#REF!</v>
      </c>
      <c r="CI3" t="e">
        <f>AND(#REF!,"AAAAAH///1Y=")</f>
        <v>#REF!</v>
      </c>
      <c r="CJ3" t="e">
        <f>AND(#REF!,"AAAAAH///1c=")</f>
        <v>#REF!</v>
      </c>
      <c r="CK3" t="e">
        <f>AND(#REF!,"AAAAAH///1g=")</f>
        <v>#REF!</v>
      </c>
      <c r="CL3" t="e">
        <f>AND(#REF!,"AAAAAH///1k=")</f>
        <v>#REF!</v>
      </c>
      <c r="CM3" t="e">
        <f>AND(#REF!,"AAAAAH///1o=")</f>
        <v>#REF!</v>
      </c>
      <c r="CN3" t="e">
        <f>AND(#REF!,"AAAAAH///1s=")</f>
        <v>#REF!</v>
      </c>
      <c r="CO3" t="e">
        <f>IF(#REF!,"AAAAAH///1w=",0)</f>
        <v>#REF!</v>
      </c>
      <c r="CP3" t="e">
        <f>AND(#REF!,"AAAAAH///10=")</f>
        <v>#REF!</v>
      </c>
      <c r="CQ3" t="e">
        <f>AND(#REF!,"AAAAAH///14=")</f>
        <v>#REF!</v>
      </c>
      <c r="CR3" t="e">
        <f>AND(#REF!,"AAAAAH///18=")</f>
        <v>#REF!</v>
      </c>
      <c r="CS3" t="e">
        <f>AND(#REF!,"AAAAAH///2A=")</f>
        <v>#REF!</v>
      </c>
      <c r="CT3" t="e">
        <f>AND(#REF!,"AAAAAH///2E=")</f>
        <v>#REF!</v>
      </c>
      <c r="CU3" t="e">
        <f>AND(#REF!,"AAAAAH///2I=")</f>
        <v>#REF!</v>
      </c>
      <c r="CV3" t="e">
        <f>AND(#REF!,"AAAAAH///2M=")</f>
        <v>#REF!</v>
      </c>
      <c r="CW3" t="e">
        <f>AND(#REF!,"AAAAAH///2Q=")</f>
        <v>#REF!</v>
      </c>
      <c r="CX3" t="e">
        <f>AND(#REF!,"AAAAAH///2U=")</f>
        <v>#REF!</v>
      </c>
      <c r="CY3" t="e">
        <f>IF(#REF!,"AAAAAH///2Y=",0)</f>
        <v>#REF!</v>
      </c>
      <c r="CZ3" t="e">
        <f>AND(#REF!,"AAAAAH///2c=")</f>
        <v>#REF!</v>
      </c>
      <c r="DA3" t="e">
        <f>AND(#REF!,"AAAAAH///2g=")</f>
        <v>#REF!</v>
      </c>
      <c r="DB3" t="e">
        <f>AND(#REF!,"AAAAAH///2k=")</f>
        <v>#REF!</v>
      </c>
      <c r="DC3" t="e">
        <f>AND(#REF!,"AAAAAH///2o=")</f>
        <v>#REF!</v>
      </c>
      <c r="DD3" t="e">
        <f>AND(#REF!,"AAAAAH///2s=")</f>
        <v>#REF!</v>
      </c>
      <c r="DE3" t="e">
        <f>AND(#REF!,"AAAAAH///2w=")</f>
        <v>#REF!</v>
      </c>
      <c r="DF3" t="e">
        <f>AND(#REF!,"AAAAAH///20=")</f>
        <v>#REF!</v>
      </c>
      <c r="DG3" t="e">
        <f>AND(#REF!,"AAAAAH///24=")</f>
        <v>#REF!</v>
      </c>
      <c r="DH3" t="e">
        <f>AND(#REF!,"AAAAAH///28=")</f>
        <v>#REF!</v>
      </c>
      <c r="DI3" t="e">
        <f>IF(#REF!,"AAAAAH///3A=",0)</f>
        <v>#REF!</v>
      </c>
      <c r="DJ3" t="e">
        <f>AND(#REF!,"AAAAAH///3E=")</f>
        <v>#REF!</v>
      </c>
      <c r="DK3" t="e">
        <f>AND(#REF!,"AAAAAH///3I=")</f>
        <v>#REF!</v>
      </c>
      <c r="DL3" t="e">
        <f>AND(#REF!,"AAAAAH///3M=")</f>
        <v>#REF!</v>
      </c>
      <c r="DM3" t="e">
        <f>AND(#REF!,"AAAAAH///3Q=")</f>
        <v>#REF!</v>
      </c>
      <c r="DN3" t="e">
        <f>AND(#REF!,"AAAAAH///3U=")</f>
        <v>#REF!</v>
      </c>
      <c r="DO3" t="e">
        <f>AND(#REF!,"AAAAAH///3Y=")</f>
        <v>#REF!</v>
      </c>
      <c r="DP3" t="e">
        <f>AND(#REF!,"AAAAAH///3c=")</f>
        <v>#REF!</v>
      </c>
      <c r="DQ3" t="e">
        <f>AND(#REF!,"AAAAAH///3g=")</f>
        <v>#REF!</v>
      </c>
      <c r="DR3" t="e">
        <f>AND(#REF!,"AAAAAH///3k=")</f>
        <v>#REF!</v>
      </c>
      <c r="DS3" t="e">
        <f>IF(#REF!,"AAAAAH///3o=",0)</f>
        <v>#REF!</v>
      </c>
      <c r="DT3" t="e">
        <f>AND(#REF!,"AAAAAH///3s=")</f>
        <v>#REF!</v>
      </c>
      <c r="DU3" t="e">
        <f>AND(#REF!,"AAAAAH///3w=")</f>
        <v>#REF!</v>
      </c>
      <c r="DV3" t="e">
        <f>AND(#REF!,"AAAAAH///30=")</f>
        <v>#REF!</v>
      </c>
      <c r="DW3" t="e">
        <f>AND(#REF!,"AAAAAH///34=")</f>
        <v>#REF!</v>
      </c>
      <c r="DX3" t="e">
        <f>AND(#REF!,"AAAAAH///38=")</f>
        <v>#REF!</v>
      </c>
      <c r="DY3" t="e">
        <f>AND(#REF!,"AAAAAH///4A=")</f>
        <v>#REF!</v>
      </c>
      <c r="DZ3" t="e">
        <f>AND(#REF!,"AAAAAH///4E=")</f>
        <v>#REF!</v>
      </c>
      <c r="EA3" t="e">
        <f>AND(#REF!,"AAAAAH///4I=")</f>
        <v>#REF!</v>
      </c>
      <c r="EB3" t="e">
        <f>AND(#REF!,"AAAAAH///4M=")</f>
        <v>#REF!</v>
      </c>
      <c r="EC3" t="e">
        <f>IF(#REF!,"AAAAAH///4Q=",0)</f>
        <v>#REF!</v>
      </c>
      <c r="ED3" t="e">
        <f>AND(#REF!,"AAAAAH///4U=")</f>
        <v>#REF!</v>
      </c>
      <c r="EE3" t="e">
        <f>AND(#REF!,"AAAAAH///4Y=")</f>
        <v>#REF!</v>
      </c>
      <c r="EF3" t="e">
        <f>AND(#REF!,"AAAAAH///4c=")</f>
        <v>#REF!</v>
      </c>
      <c r="EG3" t="e">
        <f>AND(#REF!,"AAAAAH///4g=")</f>
        <v>#REF!</v>
      </c>
      <c r="EH3" t="e">
        <f>AND(#REF!,"AAAAAH///4k=")</f>
        <v>#REF!</v>
      </c>
      <c r="EI3" t="e">
        <f>AND(#REF!,"AAAAAH///4o=")</f>
        <v>#REF!</v>
      </c>
      <c r="EJ3" t="e">
        <f>AND(#REF!,"AAAAAH///4s=")</f>
        <v>#REF!</v>
      </c>
      <c r="EK3" t="e">
        <f>AND(#REF!,"AAAAAH///4w=")</f>
        <v>#REF!</v>
      </c>
      <c r="EL3" t="e">
        <f>AND(#REF!,"AAAAAH///40=")</f>
        <v>#REF!</v>
      </c>
      <c r="EM3" t="e">
        <f>IF(#REF!,"AAAAAH///44=",0)</f>
        <v>#REF!</v>
      </c>
      <c r="EN3" t="e">
        <f>AND(#REF!,"AAAAAH///48=")</f>
        <v>#REF!</v>
      </c>
      <c r="EO3" t="e">
        <f>AND(#REF!,"AAAAAH///5A=")</f>
        <v>#REF!</v>
      </c>
      <c r="EP3" t="e">
        <f>AND(#REF!,"AAAAAH///5E=")</f>
        <v>#REF!</v>
      </c>
      <c r="EQ3" t="e">
        <f>AND(#REF!,"AAAAAH///5I=")</f>
        <v>#REF!</v>
      </c>
      <c r="ER3" t="e">
        <f>AND(#REF!,"AAAAAH///5M=")</f>
        <v>#REF!</v>
      </c>
      <c r="ES3" t="e">
        <f>AND(#REF!,"AAAAAH///5Q=")</f>
        <v>#REF!</v>
      </c>
      <c r="ET3" t="e">
        <f>AND(#REF!,"AAAAAH///5U=")</f>
        <v>#REF!</v>
      </c>
      <c r="EU3" t="e">
        <f>AND(#REF!,"AAAAAH///5Y=")</f>
        <v>#REF!</v>
      </c>
      <c r="EV3" t="e">
        <f>AND(#REF!,"AAAAAH///5c=")</f>
        <v>#REF!</v>
      </c>
      <c r="EW3" t="e">
        <f>IF(#REF!,"AAAAAH///5g=",0)</f>
        <v>#REF!</v>
      </c>
      <c r="EX3" t="e">
        <f>AND(#REF!,"AAAAAH///5k=")</f>
        <v>#REF!</v>
      </c>
      <c r="EY3" t="e">
        <f>AND(#REF!,"AAAAAH///5o=")</f>
        <v>#REF!</v>
      </c>
      <c r="EZ3" t="e">
        <f>AND(#REF!,"AAAAAH///5s=")</f>
        <v>#REF!</v>
      </c>
      <c r="FA3" t="e">
        <f>AND(#REF!,"AAAAAH///5w=")</f>
        <v>#REF!</v>
      </c>
      <c r="FB3" t="e">
        <f>AND(#REF!,"AAAAAH///50=")</f>
        <v>#REF!</v>
      </c>
      <c r="FC3" t="e">
        <f>AND(#REF!,"AAAAAH///54=")</f>
        <v>#REF!</v>
      </c>
      <c r="FD3" t="e">
        <f>AND(#REF!,"AAAAAH///58=")</f>
        <v>#REF!</v>
      </c>
      <c r="FE3" t="e">
        <f>AND(#REF!,"AAAAAH///6A=")</f>
        <v>#REF!</v>
      </c>
      <c r="FF3" t="e">
        <f>AND(#REF!,"AAAAAH///6E=")</f>
        <v>#REF!</v>
      </c>
      <c r="FG3" t="e">
        <f>IF(#REF!,"AAAAAH///6I=",0)</f>
        <v>#REF!</v>
      </c>
      <c r="FH3" t="e">
        <f>AND(#REF!,"AAAAAH///6M=")</f>
        <v>#REF!</v>
      </c>
      <c r="FI3" t="e">
        <f>AND(#REF!,"AAAAAH///6Q=")</f>
        <v>#REF!</v>
      </c>
      <c r="FJ3" t="e">
        <f>AND(#REF!,"AAAAAH///6U=")</f>
        <v>#REF!</v>
      </c>
      <c r="FK3" t="e">
        <f>AND(#REF!,"AAAAAH///6Y=")</f>
        <v>#REF!</v>
      </c>
      <c r="FL3" t="e">
        <f>AND(#REF!,"AAAAAH///6c=")</f>
        <v>#REF!</v>
      </c>
      <c r="FM3" t="e">
        <f>AND(#REF!,"AAAAAH///6g=")</f>
        <v>#REF!</v>
      </c>
      <c r="FN3" t="e">
        <f>AND(#REF!,"AAAAAH///6k=")</f>
        <v>#REF!</v>
      </c>
      <c r="FO3" t="e">
        <f>AND(#REF!,"AAAAAH///6o=")</f>
        <v>#REF!</v>
      </c>
      <c r="FP3" t="e">
        <f>AND(#REF!,"AAAAAH///6s=")</f>
        <v>#REF!</v>
      </c>
      <c r="FQ3" t="e">
        <f>IF(#REF!,"AAAAAH///6w=",0)</f>
        <v>#REF!</v>
      </c>
      <c r="FR3" t="e">
        <f>IF(#REF!,"AAAAAH///60=",0)</f>
        <v>#REF!</v>
      </c>
      <c r="FS3" t="e">
        <f>IF(#REF!,"AAAAAH///64=",0)</f>
        <v>#REF!</v>
      </c>
      <c r="FT3" t="e">
        <f>IF(#REF!,"AAAAAH///68=",0)</f>
        <v>#REF!</v>
      </c>
      <c r="FU3" t="e">
        <f>IF(#REF!,"AAAAAH///7A=",0)</f>
        <v>#REF!</v>
      </c>
      <c r="FV3" t="e">
        <f>IF(#REF!,"AAAAAH///7E=",0)</f>
        <v>#REF!</v>
      </c>
      <c r="FW3" t="e">
        <f>IF(#REF!,"AAAAAH///7I=",0)</f>
        <v>#REF!</v>
      </c>
      <c r="FX3" t="e">
        <f>IF(#REF!,"AAAAAH///7M=",0)</f>
        <v>#REF!</v>
      </c>
      <c r="FY3" t="e">
        <f>IF(#REF!,"AAAAAH///7Q=",0)</f>
        <v>#REF!</v>
      </c>
      <c r="FZ3" t="e">
        <f>IF(#REF!,"AAAAAH///7U=",0)</f>
        <v>#REF!</v>
      </c>
      <c r="GA3" t="e">
        <f>AND(#REF!,"AAAAAH///7Y=")</f>
        <v>#REF!</v>
      </c>
      <c r="GB3" t="e">
        <f>AND(#REF!,"AAAAAH///7c=")</f>
        <v>#REF!</v>
      </c>
      <c r="GC3" t="e">
        <f>AND(#REF!,"AAAAAH///7g=")</f>
        <v>#REF!</v>
      </c>
      <c r="GD3" t="e">
        <f>AND(#REF!,"AAAAAH///7k=")</f>
        <v>#REF!</v>
      </c>
      <c r="GE3" t="e">
        <f>AND(#REF!,"AAAAAH///7o=")</f>
        <v>#REF!</v>
      </c>
      <c r="GF3" t="e">
        <f>AND(#REF!,"AAAAAH///7s=")</f>
        <v>#REF!</v>
      </c>
      <c r="GG3" t="e">
        <f>AND(#REF!,"AAAAAH///7w=")</f>
        <v>#REF!</v>
      </c>
      <c r="GH3" t="e">
        <f>AND(#REF!,"AAAAAH///70=")</f>
        <v>#REF!</v>
      </c>
      <c r="GI3" t="e">
        <f>AND(#REF!,"AAAAAH///74=")</f>
        <v>#REF!</v>
      </c>
      <c r="GJ3" t="e">
        <f>AND(#REF!,"AAAAAH///78=")</f>
        <v>#REF!</v>
      </c>
      <c r="GK3" t="e">
        <f>IF(#REF!,"AAAAAH///8A=",0)</f>
        <v>#REF!</v>
      </c>
      <c r="GL3" t="e">
        <f>AND(#REF!,"AAAAAH///8E=")</f>
        <v>#REF!</v>
      </c>
      <c r="GM3" t="e">
        <f>AND(#REF!,"AAAAAH///8I=")</f>
        <v>#REF!</v>
      </c>
      <c r="GN3" t="e">
        <f>AND(#REF!,"AAAAAH///8M=")</f>
        <v>#REF!</v>
      </c>
      <c r="GO3" t="e">
        <f>AND(#REF!,"AAAAAH///8Q=")</f>
        <v>#REF!</v>
      </c>
      <c r="GP3" t="e">
        <f>AND(#REF!,"AAAAAH///8U=")</f>
        <v>#REF!</v>
      </c>
      <c r="GQ3" t="e">
        <f>AND(#REF!,"AAAAAH///8Y=")</f>
        <v>#REF!</v>
      </c>
      <c r="GR3" t="e">
        <f>AND(#REF!,"AAAAAH///8c=")</f>
        <v>#REF!</v>
      </c>
      <c r="GS3" t="e">
        <f>AND(#REF!,"AAAAAH///8g=")</f>
        <v>#REF!</v>
      </c>
      <c r="GT3" t="e">
        <f>AND(#REF!,"AAAAAH///8k=")</f>
        <v>#REF!</v>
      </c>
      <c r="GU3" t="e">
        <f>AND(#REF!,"AAAAAH///8o=")</f>
        <v>#REF!</v>
      </c>
      <c r="GV3" t="e">
        <f>IF(#REF!,"AAAAAH///8s=",0)</f>
        <v>#REF!</v>
      </c>
      <c r="GW3" t="e">
        <f>AND(#REF!,"AAAAAH///8w=")</f>
        <v>#REF!</v>
      </c>
      <c r="GX3" t="e">
        <f>AND(#REF!,"AAAAAH///80=")</f>
        <v>#REF!</v>
      </c>
      <c r="GY3" t="e">
        <f>AND(#REF!,"AAAAAH///84=")</f>
        <v>#REF!</v>
      </c>
      <c r="GZ3" t="e">
        <f>AND(#REF!,"AAAAAH///88=")</f>
        <v>#REF!</v>
      </c>
      <c r="HA3" t="e">
        <f>AND(#REF!,"AAAAAH///9A=")</f>
        <v>#REF!</v>
      </c>
      <c r="HB3" t="e">
        <f>AND(#REF!,"AAAAAH///9E=")</f>
        <v>#REF!</v>
      </c>
      <c r="HC3" t="e">
        <f>AND(#REF!,"AAAAAH///9I=")</f>
        <v>#REF!</v>
      </c>
      <c r="HD3" t="e">
        <f>AND(#REF!,"AAAAAH///9M=")</f>
        <v>#REF!</v>
      </c>
      <c r="HE3" t="e">
        <f>AND(#REF!,"AAAAAH///9Q=")</f>
        <v>#REF!</v>
      </c>
      <c r="HF3" t="e">
        <f>AND(#REF!,"AAAAAH///9U=")</f>
        <v>#REF!</v>
      </c>
      <c r="HG3" t="e">
        <f>IF(#REF!,"AAAAAH///9Y=",0)</f>
        <v>#REF!</v>
      </c>
      <c r="HH3" t="e">
        <f>AND(#REF!,"AAAAAH///9c=")</f>
        <v>#REF!</v>
      </c>
      <c r="HI3" t="e">
        <f>AND(#REF!,"AAAAAH///9g=")</f>
        <v>#REF!</v>
      </c>
      <c r="HJ3" t="e">
        <f>AND(#REF!,"AAAAAH///9k=")</f>
        <v>#REF!</v>
      </c>
      <c r="HK3" t="e">
        <f>AND(#REF!,"AAAAAH///9o=")</f>
        <v>#REF!</v>
      </c>
      <c r="HL3" t="e">
        <f>AND(#REF!,"AAAAAH///9s=")</f>
        <v>#REF!</v>
      </c>
      <c r="HM3" t="e">
        <f>AND(#REF!,"AAAAAH///9w=")</f>
        <v>#REF!</v>
      </c>
      <c r="HN3" t="e">
        <f>AND(#REF!,"AAAAAH///90=")</f>
        <v>#REF!</v>
      </c>
      <c r="HO3" t="e">
        <f>AND(#REF!,"AAAAAH///94=")</f>
        <v>#REF!</v>
      </c>
      <c r="HP3" t="e">
        <f>AND(#REF!,"AAAAAH///98=")</f>
        <v>#REF!</v>
      </c>
      <c r="HQ3" t="e">
        <f>AND(#REF!,"AAAAAH///+A=")</f>
        <v>#REF!</v>
      </c>
      <c r="HR3" t="e">
        <f>IF(#REF!,"AAAAAH///+E=",0)</f>
        <v>#REF!</v>
      </c>
      <c r="HS3" t="e">
        <f>AND(#REF!,"AAAAAH///+I=")</f>
        <v>#REF!</v>
      </c>
      <c r="HT3" t="e">
        <f>AND(#REF!,"AAAAAH///+M=")</f>
        <v>#REF!</v>
      </c>
      <c r="HU3" t="e">
        <f>AND(#REF!,"AAAAAH///+Q=")</f>
        <v>#REF!</v>
      </c>
      <c r="HV3" t="e">
        <f>AND(#REF!,"AAAAAH///+U=")</f>
        <v>#REF!</v>
      </c>
      <c r="HW3" t="e">
        <f>AND(#REF!,"AAAAAH///+Y=")</f>
        <v>#REF!</v>
      </c>
      <c r="HX3" t="e">
        <f>AND(#REF!,"AAAAAH///+c=")</f>
        <v>#REF!</v>
      </c>
      <c r="HY3" t="e">
        <f>AND(#REF!,"AAAAAH///+g=")</f>
        <v>#REF!</v>
      </c>
      <c r="HZ3" t="e">
        <f>AND(#REF!,"AAAAAH///+k=")</f>
        <v>#REF!</v>
      </c>
      <c r="IA3" t="e">
        <f>AND(#REF!,"AAAAAH///+o=")</f>
        <v>#REF!</v>
      </c>
      <c r="IB3" t="e">
        <f>AND(#REF!,"AAAAAH///+s=")</f>
        <v>#REF!</v>
      </c>
      <c r="IC3" t="e">
        <f>IF(#REF!,"AAAAAH///+w=",0)</f>
        <v>#REF!</v>
      </c>
      <c r="ID3" t="e">
        <f>AND(#REF!,"AAAAAH///+0=")</f>
        <v>#REF!</v>
      </c>
      <c r="IE3" t="e">
        <f>AND(#REF!,"AAAAAH///+4=")</f>
        <v>#REF!</v>
      </c>
      <c r="IF3" t="e">
        <f>AND(#REF!,"AAAAAH///+8=")</f>
        <v>#REF!</v>
      </c>
      <c r="IG3" t="e">
        <f>AND(#REF!,"AAAAAH////A=")</f>
        <v>#REF!</v>
      </c>
      <c r="IH3" t="e">
        <f>AND(#REF!,"AAAAAH////E=")</f>
        <v>#REF!</v>
      </c>
      <c r="II3" t="e">
        <f>AND(#REF!,"AAAAAH////I=")</f>
        <v>#REF!</v>
      </c>
      <c r="IJ3" t="e">
        <f>AND(#REF!,"AAAAAH////M=")</f>
        <v>#REF!</v>
      </c>
      <c r="IK3" t="e">
        <f>AND(#REF!,"AAAAAH////Q=")</f>
        <v>#REF!</v>
      </c>
      <c r="IL3" t="e">
        <f>AND(#REF!,"AAAAAH////U=")</f>
        <v>#REF!</v>
      </c>
      <c r="IM3" t="e">
        <f>AND(#REF!,"AAAAAH////Y=")</f>
        <v>#REF!</v>
      </c>
      <c r="IN3" t="e">
        <f>IF(#REF!,"AAAAAH////c=",0)</f>
        <v>#REF!</v>
      </c>
      <c r="IO3" t="e">
        <f>AND(#REF!,"AAAAAH////g=")</f>
        <v>#REF!</v>
      </c>
      <c r="IP3" t="e">
        <f>AND(#REF!,"AAAAAH////k=")</f>
        <v>#REF!</v>
      </c>
      <c r="IQ3" t="e">
        <f>AND(#REF!,"AAAAAH////o=")</f>
        <v>#REF!</v>
      </c>
      <c r="IR3" t="e">
        <f>AND(#REF!,"AAAAAH////s=")</f>
        <v>#REF!</v>
      </c>
      <c r="IS3" t="e">
        <f>AND(#REF!,"AAAAAH////w=")</f>
        <v>#REF!</v>
      </c>
      <c r="IT3" t="e">
        <f>AND(#REF!,"AAAAAH////0=")</f>
        <v>#REF!</v>
      </c>
      <c r="IU3" t="e">
        <f>AND(#REF!,"AAAAAH////4=")</f>
        <v>#REF!</v>
      </c>
      <c r="IV3" t="e">
        <f>AND(#REF!,"AAAAAH////8=")</f>
        <v>#REF!</v>
      </c>
    </row>
    <row r="4" spans="1:256">
      <c r="A4" t="e">
        <f>AND(#REF!,"AAAAAE9+1wA=")</f>
        <v>#REF!</v>
      </c>
      <c r="B4" t="e">
        <f>AND(#REF!,"AAAAAE9+1wE=")</f>
        <v>#REF!</v>
      </c>
      <c r="C4" t="e">
        <f>IF(#REF!,"AAAAAE9+1wI=",0)</f>
        <v>#REF!</v>
      </c>
      <c r="D4" t="e">
        <f>AND(#REF!,"AAAAAE9+1wM=")</f>
        <v>#REF!</v>
      </c>
      <c r="E4" t="e">
        <f>AND(#REF!,"AAAAAE9+1wQ=")</f>
        <v>#REF!</v>
      </c>
      <c r="F4" t="e">
        <f>AND(#REF!,"AAAAAE9+1wU=")</f>
        <v>#REF!</v>
      </c>
      <c r="G4" t="e">
        <f>AND(#REF!,"AAAAAE9+1wY=")</f>
        <v>#REF!</v>
      </c>
      <c r="H4" t="e">
        <f>AND(#REF!,"AAAAAE9+1wc=")</f>
        <v>#REF!</v>
      </c>
      <c r="I4" t="e">
        <f>AND(#REF!,"AAAAAE9+1wg=")</f>
        <v>#REF!</v>
      </c>
      <c r="J4" t="e">
        <f>AND(#REF!,"AAAAAE9+1wk=")</f>
        <v>#REF!</v>
      </c>
      <c r="K4" t="e">
        <f>AND(#REF!,"AAAAAE9+1wo=")</f>
        <v>#REF!</v>
      </c>
      <c r="L4" t="e">
        <f>AND(#REF!,"AAAAAE9+1ws=")</f>
        <v>#REF!</v>
      </c>
      <c r="M4" t="e">
        <f>AND(#REF!,"AAAAAE9+1ww=")</f>
        <v>#REF!</v>
      </c>
      <c r="N4" t="e">
        <f>IF(#REF!,"AAAAAE9+1w0=",0)</f>
        <v>#REF!</v>
      </c>
      <c r="O4" t="e">
        <f>AND(#REF!,"AAAAAE9+1w4=")</f>
        <v>#REF!</v>
      </c>
      <c r="P4" t="e">
        <f>AND(#REF!,"AAAAAE9+1w8=")</f>
        <v>#REF!</v>
      </c>
      <c r="Q4" t="e">
        <f>AND(#REF!,"AAAAAE9+1xA=")</f>
        <v>#REF!</v>
      </c>
      <c r="R4" t="e">
        <f>AND(#REF!,"AAAAAE9+1xE=")</f>
        <v>#REF!</v>
      </c>
      <c r="S4" t="e">
        <f>AND(#REF!,"AAAAAE9+1xI=")</f>
        <v>#REF!</v>
      </c>
      <c r="T4" t="e">
        <f>AND(#REF!,"AAAAAE9+1xM=")</f>
        <v>#REF!</v>
      </c>
      <c r="U4" t="e">
        <f>AND(#REF!,"AAAAAE9+1xQ=")</f>
        <v>#REF!</v>
      </c>
      <c r="V4" t="e">
        <f>AND(#REF!,"AAAAAE9+1xU=")</f>
        <v>#REF!</v>
      </c>
      <c r="W4" t="e">
        <f>AND(#REF!,"AAAAAE9+1xY=")</f>
        <v>#REF!</v>
      </c>
      <c r="X4" t="e">
        <f>AND(#REF!,"AAAAAE9+1xc=")</f>
        <v>#REF!</v>
      </c>
      <c r="Y4" t="e">
        <f>IF(#REF!,"AAAAAE9+1xg=",0)</f>
        <v>#REF!</v>
      </c>
      <c r="Z4" t="e">
        <f>AND(#REF!,"AAAAAE9+1xk=")</f>
        <v>#REF!</v>
      </c>
      <c r="AA4" t="e">
        <f>AND(#REF!,"AAAAAE9+1xo=")</f>
        <v>#REF!</v>
      </c>
      <c r="AB4" t="e">
        <f>AND(#REF!,"AAAAAE9+1xs=")</f>
        <v>#REF!</v>
      </c>
      <c r="AC4" t="e">
        <f>AND(#REF!,"AAAAAE9+1xw=")</f>
        <v>#REF!</v>
      </c>
      <c r="AD4" t="e">
        <f>AND(#REF!,"AAAAAE9+1x0=")</f>
        <v>#REF!</v>
      </c>
      <c r="AE4" t="e">
        <f>AND(#REF!,"AAAAAE9+1x4=")</f>
        <v>#REF!</v>
      </c>
      <c r="AF4" t="e">
        <f>AND(#REF!,"AAAAAE9+1x8=")</f>
        <v>#REF!</v>
      </c>
      <c r="AG4" t="e">
        <f>AND(#REF!,"AAAAAE9+1yA=")</f>
        <v>#REF!</v>
      </c>
      <c r="AH4" t="e">
        <f>AND(#REF!,"AAAAAE9+1yE=")</f>
        <v>#REF!</v>
      </c>
      <c r="AI4" t="e">
        <f>AND(#REF!,"AAAAAE9+1yI=")</f>
        <v>#REF!</v>
      </c>
      <c r="AJ4" t="e">
        <f>IF(#REF!,"AAAAAE9+1yM=",0)</f>
        <v>#REF!</v>
      </c>
      <c r="AK4" t="e">
        <f>AND(#REF!,"AAAAAE9+1yQ=")</f>
        <v>#REF!</v>
      </c>
      <c r="AL4" t="e">
        <f>AND(#REF!,"AAAAAE9+1yU=")</f>
        <v>#REF!</v>
      </c>
      <c r="AM4" t="e">
        <f>AND(#REF!,"AAAAAE9+1yY=")</f>
        <v>#REF!</v>
      </c>
      <c r="AN4" t="e">
        <f>AND(#REF!,"AAAAAE9+1yc=")</f>
        <v>#REF!</v>
      </c>
      <c r="AO4" t="e">
        <f>AND(#REF!,"AAAAAE9+1yg=")</f>
        <v>#REF!</v>
      </c>
      <c r="AP4" t="e">
        <f>AND(#REF!,"AAAAAE9+1yk=")</f>
        <v>#REF!</v>
      </c>
      <c r="AQ4" t="e">
        <f>AND(#REF!,"AAAAAE9+1yo=")</f>
        <v>#REF!</v>
      </c>
      <c r="AR4" t="e">
        <f>AND(#REF!,"AAAAAE9+1ys=")</f>
        <v>#REF!</v>
      </c>
      <c r="AS4" t="e">
        <f>AND(#REF!,"AAAAAE9+1yw=")</f>
        <v>#REF!</v>
      </c>
      <c r="AT4" t="e">
        <f>AND(#REF!,"AAAAAE9+1y0=")</f>
        <v>#REF!</v>
      </c>
      <c r="AU4" t="e">
        <f>IF(#REF!,"AAAAAE9+1y4=",0)</f>
        <v>#REF!</v>
      </c>
      <c r="AV4" t="e">
        <f>AND(#REF!,"AAAAAE9+1y8=")</f>
        <v>#REF!</v>
      </c>
      <c r="AW4" t="e">
        <f>AND(#REF!,"AAAAAE9+1zA=")</f>
        <v>#REF!</v>
      </c>
      <c r="AX4" t="e">
        <f>AND(#REF!,"AAAAAE9+1zE=")</f>
        <v>#REF!</v>
      </c>
      <c r="AY4" t="e">
        <f>AND(#REF!,"AAAAAE9+1zI=")</f>
        <v>#REF!</v>
      </c>
      <c r="AZ4" t="e">
        <f>AND(#REF!,"AAAAAE9+1zM=")</f>
        <v>#REF!</v>
      </c>
      <c r="BA4" t="e">
        <f>AND(#REF!,"AAAAAE9+1zQ=")</f>
        <v>#REF!</v>
      </c>
      <c r="BB4" t="e">
        <f>AND(#REF!,"AAAAAE9+1zU=")</f>
        <v>#REF!</v>
      </c>
      <c r="BC4" t="e">
        <f>AND(#REF!,"AAAAAE9+1zY=")</f>
        <v>#REF!</v>
      </c>
      <c r="BD4" t="e">
        <f>AND(#REF!,"AAAAAE9+1zc=")</f>
        <v>#REF!</v>
      </c>
      <c r="BE4" t="e">
        <f>AND(#REF!,"AAAAAE9+1zg=")</f>
        <v>#REF!</v>
      </c>
      <c r="BF4" t="e">
        <f>IF(#REF!,"AAAAAE9+1zk=",0)</f>
        <v>#REF!</v>
      </c>
      <c r="BG4" t="e">
        <f>IF(#REF!,"AAAAAE9+1zo=",0)</f>
        <v>#REF!</v>
      </c>
      <c r="BH4" t="e">
        <f>IF(#REF!,"AAAAAE9+1zs=",0)</f>
        <v>#REF!</v>
      </c>
      <c r="BI4" t="e">
        <f>IF(#REF!,"AAAAAE9+1zw=",0)</f>
        <v>#REF!</v>
      </c>
      <c r="BJ4" t="e">
        <f>IF(#REF!,"AAAAAE9+1z0=",0)</f>
        <v>#REF!</v>
      </c>
      <c r="BK4" t="e">
        <f>IF(#REF!,"AAAAAE9+1z4=",0)</f>
        <v>#REF!</v>
      </c>
      <c r="BL4" t="e">
        <f>IF(#REF!,"AAAAAE9+1z8=",0)</f>
        <v>#REF!</v>
      </c>
      <c r="BM4" t="e">
        <f>IF(#REF!,"AAAAAE9+10A=",0)</f>
        <v>#REF!</v>
      </c>
      <c r="BN4" t="e">
        <f>IF(#REF!,"AAAAAE9+10E=",0)</f>
        <v>#REF!</v>
      </c>
      <c r="BO4" t="e">
        <f>IF(#REF!,"AAAAAE9+10I=",0)</f>
        <v>#REF!</v>
      </c>
      <c r="BP4" t="e">
        <f>IF(#REF!,"AAAAAE9+10M=",0)</f>
        <v>#REF!</v>
      </c>
      <c r="BQ4" t="e">
        <f>AND(#REF!,"AAAAAE9+10Q=")</f>
        <v>#REF!</v>
      </c>
      <c r="BR4" t="e">
        <f>AND(#REF!,"AAAAAE9+10U=")</f>
        <v>#REF!</v>
      </c>
      <c r="BS4" t="e">
        <f>AND(#REF!,"AAAAAE9+10Y=")</f>
        <v>#REF!</v>
      </c>
      <c r="BT4" t="e">
        <f>IF(#REF!,"AAAAAE9+10c=",0)</f>
        <v>#REF!</v>
      </c>
      <c r="BU4" t="e">
        <f>AND(#REF!,"AAAAAE9+10g=")</f>
        <v>#REF!</v>
      </c>
      <c r="BV4" t="e">
        <f>AND(#REF!,"AAAAAE9+10k=")</f>
        <v>#REF!</v>
      </c>
      <c r="BW4" t="e">
        <f>AND(#REF!,"AAAAAE9+10o=")</f>
        <v>#REF!</v>
      </c>
      <c r="BX4" t="e">
        <f>IF(#REF!,"AAAAAE9+10s=",0)</f>
        <v>#REF!</v>
      </c>
      <c r="BY4" t="e">
        <f>AND(#REF!,"AAAAAE9+10w=")</f>
        <v>#REF!</v>
      </c>
      <c r="BZ4" t="e">
        <f>AND(#REF!,"AAAAAE9+100=")</f>
        <v>#REF!</v>
      </c>
      <c r="CA4" t="e">
        <f>AND(#REF!,"AAAAAE9+104=")</f>
        <v>#REF!</v>
      </c>
      <c r="CB4" t="e">
        <f>IF(#REF!,"AAAAAE9+108=",0)</f>
        <v>#REF!</v>
      </c>
      <c r="CC4" t="e">
        <f>AND(#REF!,"AAAAAE9+11A=")</f>
        <v>#REF!</v>
      </c>
      <c r="CD4" t="e">
        <f>IF(#REF!,"AAAAAE9+11E=",0)</f>
        <v>#REF!</v>
      </c>
      <c r="CE4" t="e">
        <f>AND(#REF!,"AAAAAE9+11I=")</f>
        <v>#REF!</v>
      </c>
      <c r="CF4" t="e">
        <f>IF(#REF!,"AAAAAE9+11M=",0)</f>
        <v>#REF!</v>
      </c>
      <c r="CG4" t="e">
        <f>AND(#REF!,"AAAAAE9+11Q=")</f>
        <v>#REF!</v>
      </c>
      <c r="CH4" t="e">
        <f>IF(#REF!,"AAAAAE9+11U=",0)</f>
        <v>#REF!</v>
      </c>
      <c r="CI4" t="e">
        <f>AND(#REF!,"AAAAAE9+11Y=")</f>
        <v>#REF!</v>
      </c>
      <c r="CJ4" t="e">
        <f>IF(#REF!,"AAAAAE9+11c=",0)</f>
        <v>#REF!</v>
      </c>
      <c r="CK4" t="e">
        <f>AND(#REF!,"AAAAAE9+11g=")</f>
        <v>#REF!</v>
      </c>
      <c r="CL4" t="e">
        <f>IF(#REF!,"AAAAAE9+11k=",0)</f>
        <v>#REF!</v>
      </c>
      <c r="CM4" t="e">
        <f>AND(#REF!,"AAAAAE9+11o=")</f>
        <v>#REF!</v>
      </c>
      <c r="CN4" t="e">
        <f>IF(#REF!,"AAAAAE9+11s=",0)</f>
        <v>#REF!</v>
      </c>
      <c r="CO4" t="e">
        <f>AND(#REF!,"AAAAAE9+11w=")</f>
        <v>#REF!</v>
      </c>
      <c r="CP4" t="e">
        <f>IF(#REF!,"AAAAAE9+110=",0)</f>
        <v>#REF!</v>
      </c>
      <c r="CQ4" t="e">
        <f>AND(#REF!,"AAAAAE9+114=")</f>
        <v>#REF!</v>
      </c>
      <c r="CR4" t="e">
        <f>IF(#REF!,"AAAAAE9+118=",0)</f>
        <v>#REF!</v>
      </c>
      <c r="CS4" t="e">
        <f>AND(#REF!,"AAAAAE9+12A=")</f>
        <v>#REF!</v>
      </c>
      <c r="CT4" t="e">
        <f>IF(#REF!,"AAAAAE9+12E=",0)</f>
        <v>#REF!</v>
      </c>
      <c r="CU4" t="e">
        <f>AND(#REF!,"AAAAAE9+12I=")</f>
        <v>#REF!</v>
      </c>
      <c r="CV4" t="e">
        <f>IF(#REF!,"AAAAAE9+12M=",0)</f>
        <v>#REF!</v>
      </c>
      <c r="CW4" t="e">
        <f>AND(#REF!,"AAAAAE9+12Q=")</f>
        <v>#REF!</v>
      </c>
      <c r="CX4" t="e">
        <f>IF(#REF!,"AAAAAE9+12U=",0)</f>
        <v>#REF!</v>
      </c>
      <c r="CY4" t="e">
        <f>IF(#REF!,"AAAAAE9+12Y=",0)</f>
        <v>#REF!</v>
      </c>
      <c r="CZ4" t="e">
        <f>IF(#REF!,"AAAAAE9+12c=",0)</f>
        <v>#REF!</v>
      </c>
      <c r="DA4" t="e">
        <f>IF(#REF!,"AAAAAE9+12g=",0)</f>
        <v>#REF!</v>
      </c>
      <c r="DB4" t="e">
        <f>AND(#REF!,"AAAAAE9+12k=")</f>
        <v>#REF!</v>
      </c>
      <c r="DC4" t="e">
        <f>AND(#REF!,"AAAAAE9+12o=")</f>
        <v>#REF!</v>
      </c>
      <c r="DD4" t="e">
        <f>AND(#REF!,"AAAAAE9+12s=")</f>
        <v>#REF!</v>
      </c>
      <c r="DE4" t="e">
        <f>AND(#REF!,"AAAAAE9+12w=")</f>
        <v>#REF!</v>
      </c>
      <c r="DF4" t="e">
        <f>IF(#REF!,"AAAAAE9+120=",0)</f>
        <v>#REF!</v>
      </c>
      <c r="DG4" t="e">
        <f>AND(#REF!,"AAAAAE9+124=")</f>
        <v>#REF!</v>
      </c>
      <c r="DH4" t="e">
        <f>AND(#REF!,"AAAAAE9+128=")</f>
        <v>#REF!</v>
      </c>
      <c r="DI4" t="e">
        <f>AND(#REF!,"AAAAAE9+13A=")</f>
        <v>#REF!</v>
      </c>
      <c r="DJ4" t="e">
        <f>AND(#REF!,"AAAAAE9+13E=")</f>
        <v>#REF!</v>
      </c>
      <c r="DK4" t="e">
        <f>IF(#REF!,"AAAAAE9+13I=",0)</f>
        <v>#REF!</v>
      </c>
      <c r="DL4" t="e">
        <f>AND(#REF!,"AAAAAE9+13M=")</f>
        <v>#REF!</v>
      </c>
      <c r="DM4" t="e">
        <f>AND(#REF!,"AAAAAE9+13Q=")</f>
        <v>#REF!</v>
      </c>
      <c r="DN4" t="e">
        <f>AND(#REF!,"AAAAAE9+13U=")</f>
        <v>#REF!</v>
      </c>
      <c r="DO4" t="e">
        <f>AND(#REF!,"AAAAAE9+13Y=")</f>
        <v>#REF!</v>
      </c>
      <c r="DP4" t="e">
        <f>IF(#REF!,"AAAAAE9+13c=",0)</f>
        <v>#REF!</v>
      </c>
      <c r="DQ4" t="e">
        <f>AND(#REF!,"AAAAAE9+13g=")</f>
        <v>#REF!</v>
      </c>
      <c r="DR4" t="e">
        <f>AND(#REF!,"AAAAAE9+13k=")</f>
        <v>#REF!</v>
      </c>
      <c r="DS4" t="e">
        <f>AND(#REF!,"AAAAAE9+13o=")</f>
        <v>#REF!</v>
      </c>
      <c r="DT4" t="e">
        <f>AND(#REF!,"AAAAAE9+13s=")</f>
        <v>#REF!</v>
      </c>
      <c r="DU4" t="e">
        <f>IF(#REF!,"AAAAAE9+13w=",0)</f>
        <v>#REF!</v>
      </c>
      <c r="DV4" t="e">
        <f>AND(#REF!,"AAAAAE9+130=")</f>
        <v>#REF!</v>
      </c>
      <c r="DW4" t="e">
        <f>AND(#REF!,"AAAAAE9+134=")</f>
        <v>#REF!</v>
      </c>
      <c r="DX4" t="e">
        <f>AND(#REF!,"AAAAAE9+138=")</f>
        <v>#REF!</v>
      </c>
      <c r="DY4" t="e">
        <f>AND(#REF!,"AAAAAE9+14A=")</f>
        <v>#REF!</v>
      </c>
      <c r="DZ4" t="e">
        <f>IF(#REF!,"AAAAAE9+14E=",0)</f>
        <v>#REF!</v>
      </c>
      <c r="EA4" t="e">
        <f>AND(#REF!,"AAAAAE9+14I=")</f>
        <v>#REF!</v>
      </c>
      <c r="EB4" t="e">
        <f>AND(#REF!,"AAAAAE9+14M=")</f>
        <v>#REF!</v>
      </c>
      <c r="EC4" t="e">
        <f>AND(#REF!,"AAAAAE9+14Q=")</f>
        <v>#REF!</v>
      </c>
      <c r="ED4" t="e">
        <f>AND(#REF!,"AAAAAE9+14U=")</f>
        <v>#REF!</v>
      </c>
      <c r="EE4" t="e">
        <f>IF(#REF!,"AAAAAE9+14Y=",0)</f>
        <v>#REF!</v>
      </c>
      <c r="EF4" t="e">
        <f>AND(#REF!,"AAAAAE9+14c=")</f>
        <v>#REF!</v>
      </c>
      <c r="EG4" t="e">
        <f>AND(#REF!,"AAAAAE9+14g=")</f>
        <v>#REF!</v>
      </c>
      <c r="EH4" t="e">
        <f>AND(#REF!,"AAAAAE9+14k=")</f>
        <v>#REF!</v>
      </c>
      <c r="EI4" t="e">
        <f>AND(#REF!,"AAAAAE9+14o=")</f>
        <v>#REF!</v>
      </c>
      <c r="EJ4" t="e">
        <f>IF(#REF!,"AAAAAE9+14s=",0)</f>
        <v>#REF!</v>
      </c>
      <c r="EK4" t="e">
        <f>AND(#REF!,"AAAAAE9+14w=")</f>
        <v>#REF!</v>
      </c>
      <c r="EL4" t="e">
        <f>AND(#REF!,"AAAAAE9+140=")</f>
        <v>#REF!</v>
      </c>
      <c r="EM4" t="e">
        <f>AND(#REF!,"AAAAAE9+144=")</f>
        <v>#REF!</v>
      </c>
      <c r="EN4" t="e">
        <f>AND(#REF!,"AAAAAE9+148=")</f>
        <v>#REF!</v>
      </c>
      <c r="EO4" t="e">
        <f>IF(#REF!,"AAAAAE9+15A=",0)</f>
        <v>#REF!</v>
      </c>
      <c r="EP4" t="e">
        <f>AND(#REF!,"AAAAAE9+15E=")</f>
        <v>#REF!</v>
      </c>
      <c r="EQ4" t="e">
        <f>AND(#REF!,"AAAAAE9+15I=")</f>
        <v>#REF!</v>
      </c>
      <c r="ER4" t="e">
        <f>AND(#REF!,"AAAAAE9+15M=")</f>
        <v>#REF!</v>
      </c>
      <c r="ES4" t="e">
        <f>AND(#REF!,"AAAAAE9+15Q=")</f>
        <v>#REF!</v>
      </c>
      <c r="ET4" t="e">
        <f>IF(#REF!,"AAAAAE9+15U=",0)</f>
        <v>#REF!</v>
      </c>
      <c r="EU4" t="e">
        <f>AND(#REF!,"AAAAAE9+15Y=")</f>
        <v>#REF!</v>
      </c>
      <c r="EV4" t="e">
        <f>AND(#REF!,"AAAAAE9+15c=")</f>
        <v>#REF!</v>
      </c>
      <c r="EW4" t="e">
        <f>AND(#REF!,"AAAAAE9+15g=")</f>
        <v>#REF!</v>
      </c>
      <c r="EX4" t="e">
        <f>AND(#REF!,"AAAAAE9+15k=")</f>
        <v>#REF!</v>
      </c>
      <c r="EY4" t="e">
        <f>IF(#REF!,"AAAAAE9+15o=",0)</f>
        <v>#REF!</v>
      </c>
      <c r="EZ4" t="e">
        <f>AND(#REF!,"AAAAAE9+15s=")</f>
        <v>#REF!</v>
      </c>
      <c r="FA4" t="e">
        <f>AND(#REF!,"AAAAAE9+15w=")</f>
        <v>#REF!</v>
      </c>
      <c r="FB4" t="e">
        <f>AND(#REF!,"AAAAAE9+150=")</f>
        <v>#REF!</v>
      </c>
      <c r="FC4" t="e">
        <f>AND(#REF!,"AAAAAE9+154=")</f>
        <v>#REF!</v>
      </c>
      <c r="FD4" t="e">
        <f>IF(#REF!,"AAAAAE9+158=",0)</f>
        <v>#REF!</v>
      </c>
      <c r="FE4" t="e">
        <f>AND(#REF!,"AAAAAE9+16A=")</f>
        <v>#REF!</v>
      </c>
      <c r="FF4" t="e">
        <f>AND(#REF!,"AAAAAE9+16E=")</f>
        <v>#REF!</v>
      </c>
      <c r="FG4" t="e">
        <f>AND(#REF!,"AAAAAE9+16I=")</f>
        <v>#REF!</v>
      </c>
      <c r="FH4" t="e">
        <f>AND(#REF!,"AAAAAE9+16M=")</f>
        <v>#REF!</v>
      </c>
      <c r="FI4" t="e">
        <f>IF(#REF!,"AAAAAE9+16Q=",0)</f>
        <v>#REF!</v>
      </c>
      <c r="FJ4" t="e">
        <f>IF(#REF!,"AAAAAE9+16U=",0)</f>
        <v>#REF!</v>
      </c>
      <c r="FK4" t="e">
        <f>IF(#REF!,"AAAAAE9+16Y=",0)</f>
        <v>#REF!</v>
      </c>
      <c r="FL4" t="e">
        <f>IF(#REF!,"AAAAAE9+16c=",0)</f>
        <v>#REF!</v>
      </c>
      <c r="FM4" t="e">
        <f>IF(#REF!,"AAAAAE9+16g=",0)</f>
        <v>#REF!</v>
      </c>
      <c r="FN4" t="e">
        <f>AND(#REF!,"AAAAAE9+16k=")</f>
        <v>#REF!</v>
      </c>
      <c r="FO4" t="e">
        <f>AND(#REF!,"AAAAAE9+16o=")</f>
        <v>#REF!</v>
      </c>
      <c r="FP4" t="e">
        <f>AND(#REF!,"AAAAAE9+16s=")</f>
        <v>#REF!</v>
      </c>
      <c r="FQ4" t="e">
        <f>AND(#REF!,"AAAAAE9+16w=")</f>
        <v>#REF!</v>
      </c>
      <c r="FR4" t="e">
        <f>AND(#REF!,"AAAAAE9+160=")</f>
        <v>#REF!</v>
      </c>
      <c r="FS4" t="e">
        <f>IF(#REF!,"AAAAAE9+164=",0)</f>
        <v>#REF!</v>
      </c>
      <c r="FT4" t="e">
        <f>AND(#REF!,"AAAAAE9+168=")</f>
        <v>#REF!</v>
      </c>
      <c r="FU4" t="e">
        <f>AND(#REF!,"AAAAAE9+17A=")</f>
        <v>#REF!</v>
      </c>
      <c r="FV4" t="e">
        <f>AND(#REF!,"AAAAAE9+17E=")</f>
        <v>#REF!</v>
      </c>
      <c r="FW4" t="e">
        <f>AND(#REF!,"AAAAAE9+17I=")</f>
        <v>#REF!</v>
      </c>
      <c r="FX4" t="e">
        <f>AND(#REF!,"AAAAAE9+17M=")</f>
        <v>#REF!</v>
      </c>
      <c r="FY4" t="e">
        <f>IF(#REF!,"AAAAAE9+17Q=",0)</f>
        <v>#REF!</v>
      </c>
      <c r="FZ4" t="e">
        <f>AND(#REF!,"AAAAAE9+17U=")</f>
        <v>#REF!</v>
      </c>
      <c r="GA4" t="e">
        <f>AND(#REF!,"AAAAAE9+17Y=")</f>
        <v>#REF!</v>
      </c>
      <c r="GB4" t="e">
        <f>AND(#REF!,"AAAAAE9+17c=")</f>
        <v>#REF!</v>
      </c>
      <c r="GC4" t="e">
        <f>AND(#REF!,"AAAAAE9+17g=")</f>
        <v>#REF!</v>
      </c>
      <c r="GD4" t="e">
        <f>AND(#REF!,"AAAAAE9+17k=")</f>
        <v>#REF!</v>
      </c>
      <c r="GE4" t="e">
        <f>IF(#REF!,"AAAAAE9+17o=",0)</f>
        <v>#REF!</v>
      </c>
      <c r="GF4" t="e">
        <f>AND(#REF!,"AAAAAE9+17s=")</f>
        <v>#REF!</v>
      </c>
      <c r="GG4" t="e">
        <f>IF(#REF!,"AAAAAE9+17w=",0)</f>
        <v>#REF!</v>
      </c>
      <c r="GH4" t="e">
        <f>AND(#REF!,"AAAAAE9+170=")</f>
        <v>#REF!</v>
      </c>
      <c r="GI4" t="e">
        <f>IF(#REF!,"AAAAAE9+174=",0)</f>
        <v>#REF!</v>
      </c>
      <c r="GJ4" t="e">
        <f>AND(#REF!,"AAAAAE9+178=")</f>
        <v>#REF!</v>
      </c>
      <c r="GK4" t="e">
        <f>IF(#REF!,"AAAAAE9+18A=",0)</f>
        <v>#REF!</v>
      </c>
      <c r="GL4" t="e">
        <f>AND(#REF!,"AAAAAE9+18E=")</f>
        <v>#REF!</v>
      </c>
      <c r="GM4" t="e">
        <f>IF(#REF!,"AAAAAE9+18I=",0)</f>
        <v>#REF!</v>
      </c>
      <c r="GN4" t="e">
        <f>AND(#REF!,"AAAAAE9+18M=")</f>
        <v>#REF!</v>
      </c>
      <c r="GO4" t="e">
        <f>IF(#REF!,"AAAAAE9+18Q=",0)</f>
        <v>#REF!</v>
      </c>
      <c r="GP4" t="e">
        <f>IF(#REF!,"AAAAAE9+18U=",0)</f>
        <v>#REF!</v>
      </c>
      <c r="GQ4" t="e">
        <f>IF(#REF!,"AAAAAE9+18Y=",0)</f>
        <v>#REF!</v>
      </c>
      <c r="GR4" t="e">
        <f>IF(#REF!,"AAAAAE9+18c=",0)</f>
        <v>#REF!</v>
      </c>
      <c r="GS4" t="e">
        <f>IF(#REF!,"AAAAAE9+18g=",0)</f>
        <v>#REF!</v>
      </c>
      <c r="GT4" t="e">
        <f>IF(#REF!,"AAAAAE9+18k=",0)</f>
        <v>#REF!</v>
      </c>
      <c r="GU4" t="e">
        <f>AND(#REF!,"AAAAAE9+18o=")</f>
        <v>#REF!</v>
      </c>
      <c r="GV4" t="e">
        <f>AND(#REF!,"AAAAAE9+18s=")</f>
        <v>#REF!</v>
      </c>
      <c r="GW4" t="e">
        <f>AND(#REF!,"AAAAAE9+18w=")</f>
        <v>#REF!</v>
      </c>
      <c r="GX4" t="e">
        <f>AND(#REF!,"AAAAAE9+180=")</f>
        <v>#REF!</v>
      </c>
      <c r="GY4" t="e">
        <f>IF(#REF!,"AAAAAE9+184=",0)</f>
        <v>#REF!</v>
      </c>
      <c r="GZ4" t="e">
        <f>AND(#REF!,"AAAAAE9+188=")</f>
        <v>#REF!</v>
      </c>
      <c r="HA4" t="e">
        <f>AND(#REF!,"AAAAAE9+19A=")</f>
        <v>#REF!</v>
      </c>
      <c r="HB4" t="e">
        <f>AND(#REF!,"AAAAAE9+19E=")</f>
        <v>#REF!</v>
      </c>
      <c r="HC4" t="e">
        <f>AND(#REF!,"AAAAAE9+19I=")</f>
        <v>#REF!</v>
      </c>
      <c r="HD4" t="e">
        <f>IF(#REF!,"AAAAAE9+19M=",0)</f>
        <v>#REF!</v>
      </c>
      <c r="HE4" t="e">
        <f>AND(#REF!,"AAAAAE9+19Q=")</f>
        <v>#REF!</v>
      </c>
      <c r="HF4" t="e">
        <f>AND(#REF!,"AAAAAE9+19U=")</f>
        <v>#REF!</v>
      </c>
      <c r="HG4" t="e">
        <f>AND(#REF!,"AAAAAE9+19Y=")</f>
        <v>#REF!</v>
      </c>
      <c r="HH4" t="e">
        <f>AND(#REF!,"AAAAAE9+19c=")</f>
        <v>#REF!</v>
      </c>
      <c r="HI4" t="e">
        <f>IF(#REF!,"AAAAAE9+19g=",0)</f>
        <v>#REF!</v>
      </c>
      <c r="HJ4" t="e">
        <f>AND(#REF!,"AAAAAE9+19k=")</f>
        <v>#REF!</v>
      </c>
      <c r="HK4" t="e">
        <f>AND(#REF!,"AAAAAE9+19o=")</f>
        <v>#REF!</v>
      </c>
      <c r="HL4" t="e">
        <f>AND(#REF!,"AAAAAE9+19s=")</f>
        <v>#REF!</v>
      </c>
      <c r="HM4" t="e">
        <f>AND(#REF!,"AAAAAE9+19w=")</f>
        <v>#REF!</v>
      </c>
      <c r="HN4" t="e">
        <f>IF(#REF!,"AAAAAE9+190=",0)</f>
        <v>#REF!</v>
      </c>
      <c r="HO4" t="e">
        <f>AND(#REF!,"AAAAAE9+194=")</f>
        <v>#REF!</v>
      </c>
      <c r="HP4" t="e">
        <f>AND(#REF!,"AAAAAE9+198=")</f>
        <v>#REF!</v>
      </c>
      <c r="HQ4" t="e">
        <f>AND(#REF!,"AAAAAE9+1+A=")</f>
        <v>#REF!</v>
      </c>
      <c r="HR4" t="e">
        <f>AND(#REF!,"AAAAAE9+1+E=")</f>
        <v>#REF!</v>
      </c>
      <c r="HS4" t="e">
        <f>IF(#REF!,"AAAAAE9+1+I=",0)</f>
        <v>#REF!</v>
      </c>
      <c r="HT4" t="e">
        <f>AND(#REF!,"AAAAAE9+1+M=")</f>
        <v>#REF!</v>
      </c>
      <c r="HU4" t="e">
        <f>AND(#REF!,"AAAAAE9+1+Q=")</f>
        <v>#REF!</v>
      </c>
      <c r="HV4" t="e">
        <f>AND(#REF!,"AAAAAE9+1+U=")</f>
        <v>#REF!</v>
      </c>
      <c r="HW4" t="e">
        <f>AND(#REF!,"AAAAAE9+1+Y=")</f>
        <v>#REF!</v>
      </c>
      <c r="HX4" t="e">
        <f>IF(#REF!,"AAAAAE9+1+c=",0)</f>
        <v>#REF!</v>
      </c>
      <c r="HY4" t="e">
        <f>AND(#REF!,"AAAAAE9+1+g=")</f>
        <v>#REF!</v>
      </c>
      <c r="HZ4" t="e">
        <f>AND(#REF!,"AAAAAE9+1+k=")</f>
        <v>#REF!</v>
      </c>
      <c r="IA4" t="e">
        <f>AND(#REF!,"AAAAAE9+1+o=")</f>
        <v>#REF!</v>
      </c>
      <c r="IB4" t="e">
        <f>AND(#REF!,"AAAAAE9+1+s=")</f>
        <v>#REF!</v>
      </c>
      <c r="IC4" t="e">
        <f>IF(#REF!,"AAAAAE9+1+w=",0)</f>
        <v>#REF!</v>
      </c>
      <c r="ID4" t="e">
        <f>AND(#REF!,"AAAAAE9+1+0=")</f>
        <v>#REF!</v>
      </c>
      <c r="IE4" t="e">
        <f>AND(#REF!,"AAAAAE9+1+4=")</f>
        <v>#REF!</v>
      </c>
      <c r="IF4" t="e">
        <f>AND(#REF!,"AAAAAE9+1+8=")</f>
        <v>#REF!</v>
      </c>
      <c r="IG4" t="e">
        <f>AND(#REF!,"AAAAAE9+1/A=")</f>
        <v>#REF!</v>
      </c>
      <c r="IH4" t="e">
        <f>IF(#REF!,"AAAAAE9+1/E=",0)</f>
        <v>#REF!</v>
      </c>
      <c r="II4" t="e">
        <f>AND(#REF!,"AAAAAE9+1/I=")</f>
        <v>#REF!</v>
      </c>
      <c r="IJ4" t="e">
        <f>AND(#REF!,"AAAAAE9+1/M=")</f>
        <v>#REF!</v>
      </c>
      <c r="IK4" t="e">
        <f>AND(#REF!,"AAAAAE9+1/Q=")</f>
        <v>#REF!</v>
      </c>
      <c r="IL4" t="e">
        <f>AND(#REF!,"AAAAAE9+1/U=")</f>
        <v>#REF!</v>
      </c>
      <c r="IM4" t="e">
        <f>IF(#REF!,"AAAAAE9+1/Y=",0)</f>
        <v>#REF!</v>
      </c>
      <c r="IN4" t="e">
        <f>AND(#REF!,"AAAAAE9+1/c=")</f>
        <v>#REF!</v>
      </c>
      <c r="IO4" t="e">
        <f>AND(#REF!,"AAAAAE9+1/g=")</f>
        <v>#REF!</v>
      </c>
      <c r="IP4" t="e">
        <f>AND(#REF!,"AAAAAE9+1/k=")</f>
        <v>#REF!</v>
      </c>
      <c r="IQ4" t="e">
        <f>AND(#REF!,"AAAAAE9+1/o=")</f>
        <v>#REF!</v>
      </c>
      <c r="IR4" t="e">
        <f>IF(#REF!,"AAAAAE9+1/s=",0)</f>
        <v>#REF!</v>
      </c>
      <c r="IS4" t="e">
        <f>AND(#REF!,"AAAAAE9+1/w=")</f>
        <v>#REF!</v>
      </c>
      <c r="IT4" t="e">
        <f>IF(#REF!,"AAAAAE9+1/0=",0)</f>
        <v>#REF!</v>
      </c>
      <c r="IU4" t="e">
        <f>IF(#REF!,"AAAAAE9+1/4=",0)</f>
        <v>#REF!</v>
      </c>
      <c r="IV4" t="e">
        <f>IF(#REF!,"AAAAAE9+1/8=",0)</f>
        <v>#REF!</v>
      </c>
    </row>
    <row r="5" spans="1:256">
      <c r="A5" t="e">
        <f>IF(#REF!,"AAAAAFt/qwA=",0)</f>
        <v>#REF!</v>
      </c>
      <c r="B5" t="e">
        <f>IF(#REF!,"AAAAAFt/qwE=",0)</f>
        <v>#REF!</v>
      </c>
      <c r="C5" t="e">
        <f>AND(#REF!,"AAAAAFt/qwI=")</f>
        <v>#REF!</v>
      </c>
      <c r="D5" t="e">
        <f>AND(#REF!,"AAAAAFt/qwM=")</f>
        <v>#REF!</v>
      </c>
      <c r="E5" t="e">
        <f>AND(#REF!,"AAAAAFt/qwQ=")</f>
        <v>#REF!</v>
      </c>
      <c r="F5" t="e">
        <f>IF(#REF!,"AAAAAFt/qwU=",0)</f>
        <v>#REF!</v>
      </c>
      <c r="G5" t="e">
        <f>AND(#REF!,"AAAAAFt/qwY=")</f>
        <v>#REF!</v>
      </c>
      <c r="H5" t="e">
        <f>AND(#REF!,"AAAAAFt/qwc=")</f>
        <v>#REF!</v>
      </c>
      <c r="I5" t="e">
        <f>AND(#REF!,"AAAAAFt/qwg=")</f>
        <v>#REF!</v>
      </c>
      <c r="J5" t="e">
        <f>IF(#REF!,"AAAAAFt/qwk=",0)</f>
        <v>#REF!</v>
      </c>
      <c r="K5" t="e">
        <f>AND(#REF!,"AAAAAFt/qwo=")</f>
        <v>#REF!</v>
      </c>
      <c r="L5" t="e">
        <f>AND(#REF!,"AAAAAFt/qws=")</f>
        <v>#REF!</v>
      </c>
      <c r="M5" t="e">
        <f>AND(#REF!,"AAAAAFt/qww=")</f>
        <v>#REF!</v>
      </c>
      <c r="N5" t="e">
        <f>IF(#REF!,"AAAAAFt/qw0=",0)</f>
        <v>#REF!</v>
      </c>
      <c r="O5" t="e">
        <f>AND(#REF!,"AAAAAFt/qw4=")</f>
        <v>#REF!</v>
      </c>
      <c r="P5" t="e">
        <f>AND(#REF!,"AAAAAFt/qw8=")</f>
        <v>#REF!</v>
      </c>
      <c r="Q5" t="e">
        <f>AND(#REF!,"AAAAAFt/qxA=")</f>
        <v>#REF!</v>
      </c>
      <c r="R5" t="e">
        <f>IF(#REF!,"AAAAAFt/qxE=",0)</f>
        <v>#REF!</v>
      </c>
      <c r="S5" t="e">
        <f>AND(#REF!,"AAAAAFt/qxI=")</f>
        <v>#REF!</v>
      </c>
      <c r="T5" t="e">
        <f>AND(#REF!,"AAAAAFt/qxM=")</f>
        <v>#REF!</v>
      </c>
      <c r="U5" t="e">
        <f>AND(#REF!,"AAAAAFt/qxQ=")</f>
        <v>#REF!</v>
      </c>
      <c r="V5" t="e">
        <f>IF(#REF!,"AAAAAFt/qxU=",0)</f>
        <v>#REF!</v>
      </c>
      <c r="W5" t="e">
        <f>AND(#REF!,"AAAAAFt/qxY=")</f>
        <v>#REF!</v>
      </c>
      <c r="X5" t="e">
        <f>AND(#REF!,"AAAAAFt/qxc=")</f>
        <v>#REF!</v>
      </c>
      <c r="Y5" t="e">
        <f>AND(#REF!,"AAAAAFt/qxg=")</f>
        <v>#REF!</v>
      </c>
      <c r="Z5" t="e">
        <f>IF(#REF!,"AAAAAFt/qxk=",0)</f>
        <v>#REF!</v>
      </c>
      <c r="AA5" t="e">
        <f>AND(#REF!,"AAAAAFt/qxo=")</f>
        <v>#REF!</v>
      </c>
      <c r="AB5" t="e">
        <f>AND(#REF!,"AAAAAFt/qxs=")</f>
        <v>#REF!</v>
      </c>
      <c r="AC5" t="e">
        <f>AND(#REF!,"AAAAAFt/qxw=")</f>
        <v>#REF!</v>
      </c>
      <c r="AD5" t="e">
        <f>IF(#REF!,"AAAAAFt/qx0=",0)</f>
        <v>#REF!</v>
      </c>
      <c r="AE5" t="e">
        <f>AND(#REF!,"AAAAAFt/qx4=")</f>
        <v>#REF!</v>
      </c>
      <c r="AF5" t="e">
        <f>AND(#REF!,"AAAAAFt/qx8=")</f>
        <v>#REF!</v>
      </c>
      <c r="AG5" t="e">
        <f>AND(#REF!,"AAAAAFt/qyA=")</f>
        <v>#REF!</v>
      </c>
      <c r="AH5" t="e">
        <f>IF(#REF!,"AAAAAFt/qyE=",0)</f>
        <v>#REF!</v>
      </c>
      <c r="AI5" t="e">
        <f>AND(#REF!,"AAAAAFt/qyI=")</f>
        <v>#REF!</v>
      </c>
      <c r="AJ5" t="e">
        <f>AND(#REF!,"AAAAAFt/qyM=")</f>
        <v>#REF!</v>
      </c>
      <c r="AK5" t="e">
        <f>AND(#REF!,"AAAAAFt/qyQ=")</f>
        <v>#REF!</v>
      </c>
      <c r="AL5" t="e">
        <f>IF(#REF!,"AAAAAFt/qyU=",0)</f>
        <v>#REF!</v>
      </c>
      <c r="AM5" t="e">
        <f>AND(#REF!,"AAAAAFt/qyY=")</f>
        <v>#REF!</v>
      </c>
      <c r="AN5" t="e">
        <f>AND(#REF!,"AAAAAFt/qyc=")</f>
        <v>#REF!</v>
      </c>
      <c r="AO5" t="e">
        <f>AND(#REF!,"AAAAAFt/qyg=")</f>
        <v>#REF!</v>
      </c>
      <c r="AP5" t="e">
        <f>IF(#REF!,"AAAAAFt/qyk=",0)</f>
        <v>#REF!</v>
      </c>
      <c r="AQ5" t="e">
        <f>AND(#REF!,"AAAAAFt/qyo=")</f>
        <v>#REF!</v>
      </c>
      <c r="AR5" t="e">
        <f>AND(#REF!,"AAAAAFt/qys=")</f>
        <v>#REF!</v>
      </c>
      <c r="AS5" t="e">
        <f>AND(#REF!,"AAAAAFt/qyw=")</f>
        <v>#REF!</v>
      </c>
      <c r="AT5" t="e">
        <f>IF(#REF!,"AAAAAFt/qy0=",0)</f>
        <v>#REF!</v>
      </c>
      <c r="AU5" t="e">
        <f>AND(#REF!,"AAAAAFt/qy4=")</f>
        <v>#REF!</v>
      </c>
      <c r="AV5" t="e">
        <f>AND(#REF!,"AAAAAFt/qy8=")</f>
        <v>#REF!</v>
      </c>
      <c r="AW5" t="e">
        <f>AND(#REF!,"AAAAAFt/qzA=")</f>
        <v>#REF!</v>
      </c>
      <c r="AX5" t="e">
        <f>IF(#REF!,"AAAAAFt/qzE=",0)</f>
        <v>#REF!</v>
      </c>
      <c r="AY5" t="e">
        <f>AND(#REF!,"AAAAAFt/qzI=")</f>
        <v>#REF!</v>
      </c>
      <c r="AZ5" t="e">
        <f>AND(#REF!,"AAAAAFt/qzM=")</f>
        <v>#REF!</v>
      </c>
      <c r="BA5" t="e">
        <f>AND(#REF!,"AAAAAFt/qzQ=")</f>
        <v>#REF!</v>
      </c>
      <c r="BB5" t="e">
        <f>IF(#REF!,"AAAAAFt/qzU=",0)</f>
        <v>#REF!</v>
      </c>
      <c r="BC5" t="e">
        <f>AND(#REF!,"AAAAAFt/qzY=")</f>
        <v>#REF!</v>
      </c>
      <c r="BD5" t="e">
        <f>AND(#REF!,"AAAAAFt/qzc=")</f>
        <v>#REF!</v>
      </c>
      <c r="BE5" t="e">
        <f>AND(#REF!,"AAAAAFt/qzg=")</f>
        <v>#REF!</v>
      </c>
      <c r="BF5" t="e">
        <f>IF(#REF!,"AAAAAFt/qzk=",0)</f>
        <v>#REF!</v>
      </c>
      <c r="BG5" t="e">
        <f>AND(#REF!,"AAAAAFt/qzo=")</f>
        <v>#REF!</v>
      </c>
      <c r="BH5" t="e">
        <f>IF(#REF!,"AAAAAFt/qzs=",0)</f>
        <v>#REF!</v>
      </c>
      <c r="BI5" t="e">
        <f>AND(#REF!,"AAAAAFt/qzw=")</f>
        <v>#REF!</v>
      </c>
      <c r="BJ5" t="e">
        <f>IF(#REF!,"AAAAAFt/qz0=",0)</f>
        <v>#REF!</v>
      </c>
      <c r="BK5" t="e">
        <f>AND(#REF!,"AAAAAFt/qz4=")</f>
        <v>#REF!</v>
      </c>
      <c r="BL5" t="e">
        <f>IF(#REF!,"AAAAAFt/qz8=",0)</f>
        <v>#REF!</v>
      </c>
      <c r="BM5" t="e">
        <f>AND(#REF!,"AAAAAFt/q0A=")</f>
        <v>#REF!</v>
      </c>
      <c r="BN5" t="e">
        <f>IF(#REF!,"AAAAAFt/q0E=",0)</f>
        <v>#REF!</v>
      </c>
      <c r="BO5" t="e">
        <f>AND(#REF!,"AAAAAFt/q0I=")</f>
        <v>#REF!</v>
      </c>
      <c r="BP5" t="e">
        <f>IF(#REF!,"AAAAAFt/q0M=",0)</f>
        <v>#REF!</v>
      </c>
      <c r="BQ5" t="e">
        <f>AND(#REF!,"AAAAAFt/q0Q=")</f>
        <v>#REF!</v>
      </c>
      <c r="BR5" t="e">
        <f>IF(#REF!,"AAAAAFt/q0U=",0)</f>
        <v>#REF!</v>
      </c>
      <c r="BS5" t="e">
        <f>AND(#REF!,"AAAAAFt/q0Y=")</f>
        <v>#REF!</v>
      </c>
      <c r="BT5" t="e">
        <f>IF(#REF!,"AAAAAFt/q0c=",0)</f>
        <v>#REF!</v>
      </c>
      <c r="BU5" t="e">
        <f>AND(#REF!,"AAAAAFt/q0g=")</f>
        <v>#REF!</v>
      </c>
      <c r="BV5" t="e">
        <f>IF(#REF!,"AAAAAFt/q0k=",0)</f>
        <v>#REF!</v>
      </c>
      <c r="BW5" t="e">
        <f>IF(#REF!,"AAAAAFt/q0o=",0)</f>
        <v>#REF!</v>
      </c>
      <c r="BX5" t="e">
        <f>IF(#REF!,"AAAAAFt/q0s=",0)</f>
        <v>#REF!</v>
      </c>
      <c r="BY5" t="e">
        <f>IF(#REF!,"AAAAAFt/q0w=",0)</f>
        <v>#REF!</v>
      </c>
      <c r="BZ5" t="e">
        <f>AND(#REF!,"AAAAAFt/q00=")</f>
        <v>#REF!</v>
      </c>
      <c r="CA5" t="e">
        <f>AND(#REF!,"AAAAAFt/q04=")</f>
        <v>#REF!</v>
      </c>
      <c r="CB5" t="e">
        <f>AND(#REF!,"AAAAAFt/q08=")</f>
        <v>#REF!</v>
      </c>
      <c r="CC5" t="e">
        <f>AND(#REF!,"AAAAAFt/q1A=")</f>
        <v>#REF!</v>
      </c>
      <c r="CD5" t="e">
        <f>AND(#REF!,"AAAAAFt/q1E=")</f>
        <v>#REF!</v>
      </c>
      <c r="CE5" t="e">
        <f>AND(#REF!,"AAAAAFt/q1I=")</f>
        <v>#REF!</v>
      </c>
      <c r="CF5" t="e">
        <f>AND(#REF!,"AAAAAFt/q1M=")</f>
        <v>#REF!</v>
      </c>
      <c r="CG5" t="e">
        <f>AND(#REF!,"AAAAAFt/q1Q=")</f>
        <v>#REF!</v>
      </c>
      <c r="CH5" t="e">
        <f>AND(#REF!,"AAAAAFt/q1U=")</f>
        <v>#REF!</v>
      </c>
      <c r="CI5" t="e">
        <f>IF(#REF!,"AAAAAFt/q1Y=",0)</f>
        <v>#REF!</v>
      </c>
      <c r="CJ5" t="e">
        <f>AND(#REF!,"AAAAAFt/q1c=")</f>
        <v>#REF!</v>
      </c>
      <c r="CK5" t="e">
        <f>AND(#REF!,"AAAAAFt/q1g=")</f>
        <v>#REF!</v>
      </c>
      <c r="CL5" t="e">
        <f>AND(#REF!,"AAAAAFt/q1k=")</f>
        <v>#REF!</v>
      </c>
      <c r="CM5" t="e">
        <f>AND(#REF!,"AAAAAFt/q1o=")</f>
        <v>#REF!</v>
      </c>
      <c r="CN5" t="e">
        <f>AND(#REF!,"AAAAAFt/q1s=")</f>
        <v>#REF!</v>
      </c>
      <c r="CO5" t="e">
        <f>AND(#REF!,"AAAAAFt/q1w=")</f>
        <v>#REF!</v>
      </c>
      <c r="CP5" t="e">
        <f>AND(#REF!,"AAAAAFt/q10=")</f>
        <v>#REF!</v>
      </c>
      <c r="CQ5" t="e">
        <f>AND(#REF!,"AAAAAFt/q14=")</f>
        <v>#REF!</v>
      </c>
      <c r="CR5" t="e">
        <f>AND(#REF!,"AAAAAFt/q18=")</f>
        <v>#REF!</v>
      </c>
      <c r="CS5" t="e">
        <f>IF(#REF!,"AAAAAFt/q2A=",0)</f>
        <v>#REF!</v>
      </c>
      <c r="CT5" t="e">
        <f>AND(#REF!,"AAAAAFt/q2E=")</f>
        <v>#REF!</v>
      </c>
      <c r="CU5" t="e">
        <f>AND(#REF!,"AAAAAFt/q2I=")</f>
        <v>#REF!</v>
      </c>
      <c r="CV5" t="e">
        <f>AND(#REF!,"AAAAAFt/q2M=")</f>
        <v>#REF!</v>
      </c>
      <c r="CW5" t="e">
        <f>AND(#REF!,"AAAAAFt/q2Q=")</f>
        <v>#REF!</v>
      </c>
      <c r="CX5" t="e">
        <f>AND(#REF!,"AAAAAFt/q2U=")</f>
        <v>#REF!</v>
      </c>
      <c r="CY5" t="e">
        <f>AND(#REF!,"AAAAAFt/q2Y=")</f>
        <v>#REF!</v>
      </c>
      <c r="CZ5" t="e">
        <f>AND(#REF!,"AAAAAFt/q2c=")</f>
        <v>#REF!</v>
      </c>
      <c r="DA5" t="e">
        <f>AND(#REF!,"AAAAAFt/q2g=")</f>
        <v>#REF!</v>
      </c>
      <c r="DB5" t="e">
        <f>AND(#REF!,"AAAAAFt/q2k=")</f>
        <v>#REF!</v>
      </c>
      <c r="DC5" t="e">
        <f>IF(#REF!,"AAAAAFt/q2o=",0)</f>
        <v>#REF!</v>
      </c>
      <c r="DD5" t="e">
        <f>AND(#REF!,"AAAAAFt/q2s=")</f>
        <v>#REF!</v>
      </c>
      <c r="DE5" t="e">
        <f>AND(#REF!,"AAAAAFt/q2w=")</f>
        <v>#REF!</v>
      </c>
      <c r="DF5" t="e">
        <f>AND(#REF!,"AAAAAFt/q20=")</f>
        <v>#REF!</v>
      </c>
      <c r="DG5" t="e">
        <f>AND(#REF!,"AAAAAFt/q24=")</f>
        <v>#REF!</v>
      </c>
      <c r="DH5" t="e">
        <f>AND(#REF!,"AAAAAFt/q28=")</f>
        <v>#REF!</v>
      </c>
      <c r="DI5" t="e">
        <f>AND(#REF!,"AAAAAFt/q3A=")</f>
        <v>#REF!</v>
      </c>
      <c r="DJ5" t="e">
        <f>AND(#REF!,"AAAAAFt/q3E=")</f>
        <v>#REF!</v>
      </c>
      <c r="DK5" t="e">
        <f>AND(#REF!,"AAAAAFt/q3I=")</f>
        <v>#REF!</v>
      </c>
      <c r="DL5" t="e">
        <f>AND(#REF!,"AAAAAFt/q3M=")</f>
        <v>#REF!</v>
      </c>
      <c r="DM5" t="e">
        <f>IF(#REF!,"AAAAAFt/q3Q=",0)</f>
        <v>#REF!</v>
      </c>
      <c r="DN5" t="e">
        <f>AND(#REF!,"AAAAAFt/q3U=")</f>
        <v>#REF!</v>
      </c>
      <c r="DO5" t="e">
        <f>AND(#REF!,"AAAAAFt/q3Y=")</f>
        <v>#REF!</v>
      </c>
      <c r="DP5" t="e">
        <f>AND(#REF!,"AAAAAFt/q3c=")</f>
        <v>#REF!</v>
      </c>
      <c r="DQ5" t="e">
        <f>AND(#REF!,"AAAAAFt/q3g=")</f>
        <v>#REF!</v>
      </c>
      <c r="DR5" t="e">
        <f>AND(#REF!,"AAAAAFt/q3k=")</f>
        <v>#REF!</v>
      </c>
      <c r="DS5" t="e">
        <f>AND(#REF!,"AAAAAFt/q3o=")</f>
        <v>#REF!</v>
      </c>
      <c r="DT5" t="e">
        <f>AND(#REF!,"AAAAAFt/q3s=")</f>
        <v>#REF!</v>
      </c>
      <c r="DU5" t="e">
        <f>AND(#REF!,"AAAAAFt/q3w=")</f>
        <v>#REF!</v>
      </c>
      <c r="DV5" t="e">
        <f>AND(#REF!,"AAAAAFt/q30=")</f>
        <v>#REF!</v>
      </c>
      <c r="DW5" t="e">
        <f>IF(#REF!,"AAAAAFt/q34=",0)</f>
        <v>#REF!</v>
      </c>
      <c r="DX5" t="e">
        <f>AND(#REF!,"AAAAAFt/q38=")</f>
        <v>#REF!</v>
      </c>
      <c r="DY5" t="e">
        <f>AND(#REF!,"AAAAAFt/q4A=")</f>
        <v>#REF!</v>
      </c>
      <c r="DZ5" t="e">
        <f>AND(#REF!,"AAAAAFt/q4E=")</f>
        <v>#REF!</v>
      </c>
      <c r="EA5" t="e">
        <f>AND(#REF!,"AAAAAFt/q4I=")</f>
        <v>#REF!</v>
      </c>
      <c r="EB5" t="e">
        <f>AND(#REF!,"AAAAAFt/q4M=")</f>
        <v>#REF!</v>
      </c>
      <c r="EC5" t="e">
        <f>AND(#REF!,"AAAAAFt/q4Q=")</f>
        <v>#REF!</v>
      </c>
      <c r="ED5" t="e">
        <f>AND(#REF!,"AAAAAFt/q4U=")</f>
        <v>#REF!</v>
      </c>
      <c r="EE5" t="e">
        <f>AND(#REF!,"AAAAAFt/q4Y=")</f>
        <v>#REF!</v>
      </c>
      <c r="EF5" t="e">
        <f>AND(#REF!,"AAAAAFt/q4c=")</f>
        <v>#REF!</v>
      </c>
      <c r="EG5" t="e">
        <f>IF(#REF!,"AAAAAFt/q4g=",0)</f>
        <v>#REF!</v>
      </c>
      <c r="EH5" t="e">
        <f>AND(#REF!,"AAAAAFt/q4k=")</f>
        <v>#REF!</v>
      </c>
      <c r="EI5" t="e">
        <f>AND(#REF!,"AAAAAFt/q4o=")</f>
        <v>#REF!</v>
      </c>
      <c r="EJ5" t="e">
        <f>AND(#REF!,"AAAAAFt/q4s=")</f>
        <v>#REF!</v>
      </c>
      <c r="EK5" t="e">
        <f>AND(#REF!,"AAAAAFt/q4w=")</f>
        <v>#REF!</v>
      </c>
      <c r="EL5" t="e">
        <f>AND(#REF!,"AAAAAFt/q40=")</f>
        <v>#REF!</v>
      </c>
      <c r="EM5" t="e">
        <f>AND(#REF!,"AAAAAFt/q44=")</f>
        <v>#REF!</v>
      </c>
      <c r="EN5" t="e">
        <f>AND(#REF!,"AAAAAFt/q48=")</f>
        <v>#REF!</v>
      </c>
      <c r="EO5" t="e">
        <f>AND(#REF!,"AAAAAFt/q5A=")</f>
        <v>#REF!</v>
      </c>
      <c r="EP5" t="e">
        <f>AND(#REF!,"AAAAAFt/q5E=")</f>
        <v>#REF!</v>
      </c>
      <c r="EQ5" t="e">
        <f>IF(#REF!,"AAAAAFt/q5I=",0)</f>
        <v>#REF!</v>
      </c>
      <c r="ER5" t="e">
        <f>AND(#REF!,"AAAAAFt/q5M=")</f>
        <v>#REF!</v>
      </c>
      <c r="ES5" t="e">
        <f>AND(#REF!,"AAAAAFt/q5Q=")</f>
        <v>#REF!</v>
      </c>
      <c r="ET5" t="e">
        <f>AND(#REF!,"AAAAAFt/q5U=")</f>
        <v>#REF!</v>
      </c>
      <c r="EU5" t="e">
        <f>AND(#REF!,"AAAAAFt/q5Y=")</f>
        <v>#REF!</v>
      </c>
      <c r="EV5" t="e">
        <f>AND(#REF!,"AAAAAFt/q5c=")</f>
        <v>#REF!</v>
      </c>
      <c r="EW5" t="e">
        <f>AND(#REF!,"AAAAAFt/q5g=")</f>
        <v>#REF!</v>
      </c>
      <c r="EX5" t="e">
        <f>AND(#REF!,"AAAAAFt/q5k=")</f>
        <v>#REF!</v>
      </c>
      <c r="EY5" t="e">
        <f>AND(#REF!,"AAAAAFt/q5o=")</f>
        <v>#REF!</v>
      </c>
      <c r="EZ5" t="e">
        <f>AND(#REF!,"AAAAAFt/q5s=")</f>
        <v>#REF!</v>
      </c>
      <c r="FA5" t="e">
        <f>IF(#REF!,"AAAAAFt/q5w=",0)</f>
        <v>#REF!</v>
      </c>
      <c r="FB5" t="e">
        <f>AND(#REF!,"AAAAAFt/q50=")</f>
        <v>#REF!</v>
      </c>
      <c r="FC5" t="e">
        <f>AND(#REF!,"AAAAAFt/q54=")</f>
        <v>#REF!</v>
      </c>
      <c r="FD5" t="e">
        <f>AND(#REF!,"AAAAAFt/q58=")</f>
        <v>#REF!</v>
      </c>
      <c r="FE5" t="e">
        <f>AND(#REF!,"AAAAAFt/q6A=")</f>
        <v>#REF!</v>
      </c>
      <c r="FF5" t="e">
        <f>AND(#REF!,"AAAAAFt/q6E=")</f>
        <v>#REF!</v>
      </c>
      <c r="FG5" t="e">
        <f>AND(#REF!,"AAAAAFt/q6I=")</f>
        <v>#REF!</v>
      </c>
      <c r="FH5" t="e">
        <f>AND(#REF!,"AAAAAFt/q6M=")</f>
        <v>#REF!</v>
      </c>
      <c r="FI5" t="e">
        <f>AND(#REF!,"AAAAAFt/q6Q=")</f>
        <v>#REF!</v>
      </c>
      <c r="FJ5" t="e">
        <f>AND(#REF!,"AAAAAFt/q6U=")</f>
        <v>#REF!</v>
      </c>
      <c r="FK5" t="e">
        <f>IF(#REF!,"AAAAAFt/q6Y=",0)</f>
        <v>#REF!</v>
      </c>
      <c r="FL5" t="e">
        <f>AND(#REF!,"AAAAAFt/q6c=")</f>
        <v>#REF!</v>
      </c>
      <c r="FM5" t="e">
        <f>AND(#REF!,"AAAAAFt/q6g=")</f>
        <v>#REF!</v>
      </c>
      <c r="FN5" t="e">
        <f>AND(#REF!,"AAAAAFt/q6k=")</f>
        <v>#REF!</v>
      </c>
      <c r="FO5" t="e">
        <f>AND(#REF!,"AAAAAFt/q6o=")</f>
        <v>#REF!</v>
      </c>
      <c r="FP5" t="e">
        <f>AND(#REF!,"AAAAAFt/q6s=")</f>
        <v>#REF!</v>
      </c>
      <c r="FQ5" t="e">
        <f>AND(#REF!,"AAAAAFt/q6w=")</f>
        <v>#REF!</v>
      </c>
      <c r="FR5" t="e">
        <f>AND(#REF!,"AAAAAFt/q60=")</f>
        <v>#REF!</v>
      </c>
      <c r="FS5" t="e">
        <f>AND(#REF!,"AAAAAFt/q64=")</f>
        <v>#REF!</v>
      </c>
      <c r="FT5" t="e">
        <f>AND(#REF!,"AAAAAFt/q68=")</f>
        <v>#REF!</v>
      </c>
      <c r="FU5" t="e">
        <f>IF(#REF!,"AAAAAFt/q7A=",0)</f>
        <v>#REF!</v>
      </c>
      <c r="FV5" t="e">
        <f>AND(#REF!,"AAAAAFt/q7E=")</f>
        <v>#REF!</v>
      </c>
      <c r="FW5" t="e">
        <f>AND(#REF!,"AAAAAFt/q7I=")</f>
        <v>#REF!</v>
      </c>
      <c r="FX5" t="e">
        <f>AND(#REF!,"AAAAAFt/q7M=")</f>
        <v>#REF!</v>
      </c>
      <c r="FY5" t="e">
        <f>AND(#REF!,"AAAAAFt/q7Q=")</f>
        <v>#REF!</v>
      </c>
      <c r="FZ5" t="e">
        <f>AND(#REF!,"AAAAAFt/q7U=")</f>
        <v>#REF!</v>
      </c>
      <c r="GA5" t="e">
        <f>AND(#REF!,"AAAAAFt/q7Y=")</f>
        <v>#REF!</v>
      </c>
      <c r="GB5" t="e">
        <f>AND(#REF!,"AAAAAFt/q7c=")</f>
        <v>#REF!</v>
      </c>
      <c r="GC5" t="e">
        <f>AND(#REF!,"AAAAAFt/q7g=")</f>
        <v>#REF!</v>
      </c>
      <c r="GD5" t="e">
        <f>AND(#REF!,"AAAAAFt/q7k=")</f>
        <v>#REF!</v>
      </c>
      <c r="GE5" t="e">
        <f>IF(#REF!,"AAAAAFt/q7o=",0)</f>
        <v>#REF!</v>
      </c>
      <c r="GF5" t="e">
        <f>AND(#REF!,"AAAAAFt/q7s=")</f>
        <v>#REF!</v>
      </c>
      <c r="GG5" t="e">
        <f>AND(#REF!,"AAAAAFt/q7w=")</f>
        <v>#REF!</v>
      </c>
      <c r="GH5" t="e">
        <f>AND(#REF!,"AAAAAFt/q70=")</f>
        <v>#REF!</v>
      </c>
      <c r="GI5" t="e">
        <f>AND(#REF!,"AAAAAFt/q74=")</f>
        <v>#REF!</v>
      </c>
      <c r="GJ5" t="e">
        <f>AND(#REF!,"AAAAAFt/q78=")</f>
        <v>#REF!</v>
      </c>
      <c r="GK5" t="e">
        <f>AND(#REF!,"AAAAAFt/q8A=")</f>
        <v>#REF!</v>
      </c>
      <c r="GL5" t="e">
        <f>AND(#REF!,"AAAAAFt/q8E=")</f>
        <v>#REF!</v>
      </c>
      <c r="GM5" t="e">
        <f>AND(#REF!,"AAAAAFt/q8I=")</f>
        <v>#REF!</v>
      </c>
      <c r="GN5" t="e">
        <f>AND(#REF!,"AAAAAFt/q8M=")</f>
        <v>#REF!</v>
      </c>
      <c r="GO5" t="e">
        <f>IF(#REF!,"AAAAAFt/q8Q=",0)</f>
        <v>#REF!</v>
      </c>
      <c r="GP5" t="e">
        <f>AND(#REF!,"AAAAAFt/q8U=")</f>
        <v>#REF!</v>
      </c>
      <c r="GQ5" t="e">
        <f>AND(#REF!,"AAAAAFt/q8Y=")</f>
        <v>#REF!</v>
      </c>
      <c r="GR5" t="e">
        <f>AND(#REF!,"AAAAAFt/q8c=")</f>
        <v>#REF!</v>
      </c>
      <c r="GS5" t="e">
        <f>AND(#REF!,"AAAAAFt/q8g=")</f>
        <v>#REF!</v>
      </c>
      <c r="GT5" t="e">
        <f>AND(#REF!,"AAAAAFt/q8k=")</f>
        <v>#REF!</v>
      </c>
      <c r="GU5" t="e">
        <f>AND(#REF!,"AAAAAFt/q8o=")</f>
        <v>#REF!</v>
      </c>
      <c r="GV5" t="e">
        <f>AND(#REF!,"AAAAAFt/q8s=")</f>
        <v>#REF!</v>
      </c>
      <c r="GW5" t="e">
        <f>AND(#REF!,"AAAAAFt/q8w=")</f>
        <v>#REF!</v>
      </c>
      <c r="GX5" t="e">
        <f>AND(#REF!,"AAAAAFt/q80=")</f>
        <v>#REF!</v>
      </c>
      <c r="GY5" t="e">
        <f>IF(#REF!,"AAAAAFt/q84=",0)</f>
        <v>#REF!</v>
      </c>
      <c r="GZ5" t="e">
        <f>AND(#REF!,"AAAAAFt/q88=")</f>
        <v>#REF!</v>
      </c>
      <c r="HA5" t="e">
        <f>AND(#REF!,"AAAAAFt/q9A=")</f>
        <v>#REF!</v>
      </c>
      <c r="HB5" t="e">
        <f>AND(#REF!,"AAAAAFt/q9E=")</f>
        <v>#REF!</v>
      </c>
      <c r="HC5" t="e">
        <f>AND(#REF!,"AAAAAFt/q9I=")</f>
        <v>#REF!</v>
      </c>
      <c r="HD5" t="e">
        <f>AND(#REF!,"AAAAAFt/q9M=")</f>
        <v>#REF!</v>
      </c>
      <c r="HE5" t="e">
        <f>AND(#REF!,"AAAAAFt/q9Q=")</f>
        <v>#REF!</v>
      </c>
      <c r="HF5" t="e">
        <f>AND(#REF!,"AAAAAFt/q9U=")</f>
        <v>#REF!</v>
      </c>
      <c r="HG5" t="e">
        <f>AND(#REF!,"AAAAAFt/q9Y=")</f>
        <v>#REF!</v>
      </c>
      <c r="HH5" t="e">
        <f>AND(#REF!,"AAAAAFt/q9c=")</f>
        <v>#REF!</v>
      </c>
      <c r="HI5" t="e">
        <f>IF(#REF!,"AAAAAFt/q9g=",0)</f>
        <v>#REF!</v>
      </c>
      <c r="HJ5" t="e">
        <f>AND(#REF!,"AAAAAFt/q9k=")</f>
        <v>#REF!</v>
      </c>
      <c r="HK5" t="e">
        <f>AND(#REF!,"AAAAAFt/q9o=")</f>
        <v>#REF!</v>
      </c>
      <c r="HL5" t="e">
        <f>AND(#REF!,"AAAAAFt/q9s=")</f>
        <v>#REF!</v>
      </c>
      <c r="HM5" t="e">
        <f>AND(#REF!,"AAAAAFt/q9w=")</f>
        <v>#REF!</v>
      </c>
      <c r="HN5" t="e">
        <f>AND(#REF!,"AAAAAFt/q90=")</f>
        <v>#REF!</v>
      </c>
      <c r="HO5" t="e">
        <f>AND(#REF!,"AAAAAFt/q94=")</f>
        <v>#REF!</v>
      </c>
      <c r="HP5" t="e">
        <f>AND(#REF!,"AAAAAFt/q98=")</f>
        <v>#REF!</v>
      </c>
      <c r="HQ5" t="e">
        <f>AND(#REF!,"AAAAAFt/q+A=")</f>
        <v>#REF!</v>
      </c>
      <c r="HR5" t="e">
        <f>AND(#REF!,"AAAAAFt/q+E=")</f>
        <v>#REF!</v>
      </c>
      <c r="HS5" t="e">
        <f>IF(#REF!,"AAAAAFt/q+I=",0)</f>
        <v>#REF!</v>
      </c>
      <c r="HT5" t="e">
        <f>AND(#REF!,"AAAAAFt/q+M=")</f>
        <v>#REF!</v>
      </c>
      <c r="HU5" t="e">
        <f>AND(#REF!,"AAAAAFt/q+Q=")</f>
        <v>#REF!</v>
      </c>
      <c r="HV5" t="e">
        <f>AND(#REF!,"AAAAAFt/q+U=")</f>
        <v>#REF!</v>
      </c>
      <c r="HW5" t="e">
        <f>AND(#REF!,"AAAAAFt/q+Y=")</f>
        <v>#REF!</v>
      </c>
      <c r="HX5" t="e">
        <f>AND(#REF!,"AAAAAFt/q+c=")</f>
        <v>#REF!</v>
      </c>
      <c r="HY5" t="e">
        <f>AND(#REF!,"AAAAAFt/q+g=")</f>
        <v>#REF!</v>
      </c>
      <c r="HZ5" t="e">
        <f>AND(#REF!,"AAAAAFt/q+k=")</f>
        <v>#REF!</v>
      </c>
      <c r="IA5" t="e">
        <f>AND(#REF!,"AAAAAFt/q+o=")</f>
        <v>#REF!</v>
      </c>
      <c r="IB5" t="e">
        <f>AND(#REF!,"AAAAAFt/q+s=")</f>
        <v>#REF!</v>
      </c>
      <c r="IC5" t="e">
        <f>IF(#REF!,"AAAAAFt/q+w=",0)</f>
        <v>#REF!</v>
      </c>
      <c r="ID5" t="e">
        <f>AND(#REF!,"AAAAAFt/q+0=")</f>
        <v>#REF!</v>
      </c>
      <c r="IE5" t="e">
        <f>AND(#REF!,"AAAAAFt/q+4=")</f>
        <v>#REF!</v>
      </c>
      <c r="IF5" t="e">
        <f>AND(#REF!,"AAAAAFt/q+8=")</f>
        <v>#REF!</v>
      </c>
      <c r="IG5" t="e">
        <f>AND(#REF!,"AAAAAFt/q/A=")</f>
        <v>#REF!</v>
      </c>
      <c r="IH5" t="e">
        <f>AND(#REF!,"AAAAAFt/q/E=")</f>
        <v>#REF!</v>
      </c>
      <c r="II5" t="e">
        <f>AND(#REF!,"AAAAAFt/q/I=")</f>
        <v>#REF!</v>
      </c>
      <c r="IJ5" t="e">
        <f>AND(#REF!,"AAAAAFt/q/M=")</f>
        <v>#REF!</v>
      </c>
      <c r="IK5" t="e">
        <f>AND(#REF!,"AAAAAFt/q/Q=")</f>
        <v>#REF!</v>
      </c>
      <c r="IL5" t="e">
        <f>AND(#REF!,"AAAAAFt/q/U=")</f>
        <v>#REF!</v>
      </c>
      <c r="IM5" t="e">
        <f>IF(#REF!,"AAAAAFt/q/Y=",0)</f>
        <v>#REF!</v>
      </c>
      <c r="IN5" t="e">
        <f>AND(#REF!,"AAAAAFt/q/c=")</f>
        <v>#REF!</v>
      </c>
      <c r="IO5" t="e">
        <f>AND(#REF!,"AAAAAFt/q/g=")</f>
        <v>#REF!</v>
      </c>
      <c r="IP5" t="e">
        <f>AND(#REF!,"AAAAAFt/q/k=")</f>
        <v>#REF!</v>
      </c>
      <c r="IQ5" t="e">
        <f>AND(#REF!,"AAAAAFt/q/o=")</f>
        <v>#REF!</v>
      </c>
      <c r="IR5" t="e">
        <f>AND(#REF!,"AAAAAFt/q/s=")</f>
        <v>#REF!</v>
      </c>
      <c r="IS5" t="e">
        <f>AND(#REF!,"AAAAAFt/q/w=")</f>
        <v>#REF!</v>
      </c>
      <c r="IT5" t="e">
        <f>AND(#REF!,"AAAAAFt/q/0=")</f>
        <v>#REF!</v>
      </c>
      <c r="IU5" t="e">
        <f>AND(#REF!,"AAAAAFt/q/4=")</f>
        <v>#REF!</v>
      </c>
      <c r="IV5" t="e">
        <f>AND(#REF!,"AAAAAFt/q/8=")</f>
        <v>#REF!</v>
      </c>
    </row>
    <row r="6" spans="1:256">
      <c r="A6" t="e">
        <f>IF(#REF!,"AAAAAHv/+gA=",0)</f>
        <v>#REF!</v>
      </c>
      <c r="B6" t="e">
        <f>AND(#REF!,"AAAAAHv/+gE=")</f>
        <v>#REF!</v>
      </c>
      <c r="C6" t="e">
        <f>AND(#REF!,"AAAAAHv/+gI=")</f>
        <v>#REF!</v>
      </c>
      <c r="D6" t="e">
        <f>AND(#REF!,"AAAAAHv/+gM=")</f>
        <v>#REF!</v>
      </c>
      <c r="E6" t="e">
        <f>AND(#REF!,"AAAAAHv/+gQ=")</f>
        <v>#REF!</v>
      </c>
      <c r="F6" t="e">
        <f>AND(#REF!,"AAAAAHv/+gU=")</f>
        <v>#REF!</v>
      </c>
      <c r="G6" t="e">
        <f>AND(#REF!,"AAAAAHv/+gY=")</f>
        <v>#REF!</v>
      </c>
      <c r="H6" t="e">
        <f>AND(#REF!,"AAAAAHv/+gc=")</f>
        <v>#REF!</v>
      </c>
      <c r="I6" t="e">
        <f>AND(#REF!,"AAAAAHv/+gg=")</f>
        <v>#REF!</v>
      </c>
      <c r="J6" t="e">
        <f>AND(#REF!,"AAAAAHv/+gk=")</f>
        <v>#REF!</v>
      </c>
      <c r="K6" t="e">
        <f>IF(#REF!,"AAAAAHv/+go=",0)</f>
        <v>#REF!</v>
      </c>
      <c r="L6" t="e">
        <f>AND(#REF!,"AAAAAHv/+gs=")</f>
        <v>#REF!</v>
      </c>
      <c r="M6" t="e">
        <f>AND(#REF!,"AAAAAHv/+gw=")</f>
        <v>#REF!</v>
      </c>
      <c r="N6" t="e">
        <f>AND(#REF!,"AAAAAHv/+g0=")</f>
        <v>#REF!</v>
      </c>
      <c r="O6" t="e">
        <f>AND(#REF!,"AAAAAHv/+g4=")</f>
        <v>#REF!</v>
      </c>
      <c r="P6" t="e">
        <f>AND(#REF!,"AAAAAHv/+g8=")</f>
        <v>#REF!</v>
      </c>
      <c r="Q6" t="e">
        <f>AND(#REF!,"AAAAAHv/+hA=")</f>
        <v>#REF!</v>
      </c>
      <c r="R6" t="e">
        <f>AND(#REF!,"AAAAAHv/+hE=")</f>
        <v>#REF!</v>
      </c>
      <c r="S6" t="e">
        <f>AND(#REF!,"AAAAAHv/+hI=")</f>
        <v>#REF!</v>
      </c>
      <c r="T6" t="e">
        <f>AND(#REF!,"AAAAAHv/+hM=")</f>
        <v>#REF!</v>
      </c>
      <c r="U6" t="e">
        <f>IF(#REF!,"AAAAAHv/+hQ=",0)</f>
        <v>#REF!</v>
      </c>
      <c r="V6" t="e">
        <f>AND(#REF!,"AAAAAHv/+hU=")</f>
        <v>#REF!</v>
      </c>
      <c r="W6" t="e">
        <f>AND(#REF!,"AAAAAHv/+hY=")</f>
        <v>#REF!</v>
      </c>
      <c r="X6" t="e">
        <f>AND(#REF!,"AAAAAHv/+hc=")</f>
        <v>#REF!</v>
      </c>
      <c r="Y6" t="e">
        <f>AND(#REF!,"AAAAAHv/+hg=")</f>
        <v>#REF!</v>
      </c>
      <c r="Z6" t="e">
        <f>AND(#REF!,"AAAAAHv/+hk=")</f>
        <v>#REF!</v>
      </c>
      <c r="AA6" t="e">
        <f>AND(#REF!,"AAAAAHv/+ho=")</f>
        <v>#REF!</v>
      </c>
      <c r="AB6" t="e">
        <f>AND(#REF!,"AAAAAHv/+hs=")</f>
        <v>#REF!</v>
      </c>
      <c r="AC6" t="e">
        <f>AND(#REF!,"AAAAAHv/+hw=")</f>
        <v>#REF!</v>
      </c>
      <c r="AD6" t="e">
        <f>AND(#REF!,"AAAAAHv/+h0=")</f>
        <v>#REF!</v>
      </c>
      <c r="AE6" t="e">
        <f>IF(#REF!,"AAAAAHv/+h4=",0)</f>
        <v>#REF!</v>
      </c>
      <c r="AF6" t="e">
        <f>AND(#REF!,"AAAAAHv/+h8=")</f>
        <v>#REF!</v>
      </c>
      <c r="AG6" t="e">
        <f>AND(#REF!,"AAAAAHv/+iA=")</f>
        <v>#REF!</v>
      </c>
      <c r="AH6" t="e">
        <f>AND(#REF!,"AAAAAHv/+iE=")</f>
        <v>#REF!</v>
      </c>
      <c r="AI6" t="e">
        <f>AND(#REF!,"AAAAAHv/+iI=")</f>
        <v>#REF!</v>
      </c>
      <c r="AJ6" t="e">
        <f>AND(#REF!,"AAAAAHv/+iM=")</f>
        <v>#REF!</v>
      </c>
      <c r="AK6" t="e">
        <f>AND(#REF!,"AAAAAHv/+iQ=")</f>
        <v>#REF!</v>
      </c>
      <c r="AL6" t="e">
        <f>AND(#REF!,"AAAAAHv/+iU=")</f>
        <v>#REF!</v>
      </c>
      <c r="AM6" t="e">
        <f>AND(#REF!,"AAAAAHv/+iY=")</f>
        <v>#REF!</v>
      </c>
      <c r="AN6" t="e">
        <f>AND(#REF!,"AAAAAHv/+ic=")</f>
        <v>#REF!</v>
      </c>
      <c r="AO6" t="e">
        <f>IF(#REF!,"AAAAAHv/+ig=",0)</f>
        <v>#REF!</v>
      </c>
      <c r="AP6" t="e">
        <f>AND(#REF!,"AAAAAHv/+ik=")</f>
        <v>#REF!</v>
      </c>
      <c r="AQ6" t="e">
        <f>AND(#REF!,"AAAAAHv/+io=")</f>
        <v>#REF!</v>
      </c>
      <c r="AR6" t="e">
        <f>AND(#REF!,"AAAAAHv/+is=")</f>
        <v>#REF!</v>
      </c>
      <c r="AS6" t="e">
        <f>AND(#REF!,"AAAAAHv/+iw=")</f>
        <v>#REF!</v>
      </c>
      <c r="AT6" t="e">
        <f>AND(#REF!,"AAAAAHv/+i0=")</f>
        <v>#REF!</v>
      </c>
      <c r="AU6" t="e">
        <f>AND(#REF!,"AAAAAHv/+i4=")</f>
        <v>#REF!</v>
      </c>
      <c r="AV6" t="e">
        <f>AND(#REF!,"AAAAAHv/+i8=")</f>
        <v>#REF!</v>
      </c>
      <c r="AW6" t="e">
        <f>AND(#REF!,"AAAAAHv/+jA=")</f>
        <v>#REF!</v>
      </c>
      <c r="AX6" t="e">
        <f>AND(#REF!,"AAAAAHv/+jE=")</f>
        <v>#REF!</v>
      </c>
      <c r="AY6" t="e">
        <f>IF(#REF!,"AAAAAHv/+jI=",0)</f>
        <v>#REF!</v>
      </c>
      <c r="AZ6" t="e">
        <f>AND(#REF!,"AAAAAHv/+jM=")</f>
        <v>#REF!</v>
      </c>
      <c r="BA6" t="e">
        <f>AND(#REF!,"AAAAAHv/+jQ=")</f>
        <v>#REF!</v>
      </c>
      <c r="BB6" t="e">
        <f>AND(#REF!,"AAAAAHv/+jU=")</f>
        <v>#REF!</v>
      </c>
      <c r="BC6" t="e">
        <f>AND(#REF!,"AAAAAHv/+jY=")</f>
        <v>#REF!</v>
      </c>
      <c r="BD6" t="e">
        <f>AND(#REF!,"AAAAAHv/+jc=")</f>
        <v>#REF!</v>
      </c>
      <c r="BE6" t="e">
        <f>AND(#REF!,"AAAAAHv/+jg=")</f>
        <v>#REF!</v>
      </c>
      <c r="BF6" t="e">
        <f>AND(#REF!,"AAAAAHv/+jk=")</f>
        <v>#REF!</v>
      </c>
      <c r="BG6" t="e">
        <f>AND(#REF!,"AAAAAHv/+jo=")</f>
        <v>#REF!</v>
      </c>
      <c r="BH6" t="e">
        <f>AND(#REF!,"AAAAAHv/+js=")</f>
        <v>#REF!</v>
      </c>
      <c r="BI6" t="e">
        <f>IF(#REF!,"AAAAAHv/+jw=",0)</f>
        <v>#REF!</v>
      </c>
      <c r="BJ6" t="e">
        <f>AND(#REF!,"AAAAAHv/+j0=")</f>
        <v>#REF!</v>
      </c>
      <c r="BK6" t="e">
        <f>AND(#REF!,"AAAAAHv/+j4=")</f>
        <v>#REF!</v>
      </c>
      <c r="BL6" t="e">
        <f>AND(#REF!,"AAAAAHv/+j8=")</f>
        <v>#REF!</v>
      </c>
      <c r="BM6" t="e">
        <f>AND(#REF!,"AAAAAHv/+kA=")</f>
        <v>#REF!</v>
      </c>
      <c r="BN6" t="e">
        <f>AND(#REF!,"AAAAAHv/+kE=")</f>
        <v>#REF!</v>
      </c>
      <c r="BO6" t="e">
        <f>AND(#REF!,"AAAAAHv/+kI=")</f>
        <v>#REF!</v>
      </c>
      <c r="BP6" t="e">
        <f>AND(#REF!,"AAAAAHv/+kM=")</f>
        <v>#REF!</v>
      </c>
      <c r="BQ6" t="e">
        <f>AND(#REF!,"AAAAAHv/+kQ=")</f>
        <v>#REF!</v>
      </c>
      <c r="BR6" t="e">
        <f>AND(#REF!,"AAAAAHv/+kU=")</f>
        <v>#REF!</v>
      </c>
      <c r="BS6" t="e">
        <f>IF(#REF!,"AAAAAHv/+kY=",0)</f>
        <v>#REF!</v>
      </c>
      <c r="BT6" t="e">
        <f>AND(#REF!,"AAAAAHv/+kc=")</f>
        <v>#REF!</v>
      </c>
      <c r="BU6" t="e">
        <f>AND(#REF!,"AAAAAHv/+kg=")</f>
        <v>#REF!</v>
      </c>
      <c r="BV6" t="e">
        <f>AND(#REF!,"AAAAAHv/+kk=")</f>
        <v>#REF!</v>
      </c>
      <c r="BW6" t="e">
        <f>AND(#REF!,"AAAAAHv/+ko=")</f>
        <v>#REF!</v>
      </c>
      <c r="BX6" t="e">
        <f>AND(#REF!,"AAAAAHv/+ks=")</f>
        <v>#REF!</v>
      </c>
      <c r="BY6" t="e">
        <f>AND(#REF!,"AAAAAHv/+kw=")</f>
        <v>#REF!</v>
      </c>
      <c r="BZ6" t="e">
        <f>AND(#REF!,"AAAAAHv/+k0=")</f>
        <v>#REF!</v>
      </c>
      <c r="CA6" t="e">
        <f>AND(#REF!,"AAAAAHv/+k4=")</f>
        <v>#REF!</v>
      </c>
      <c r="CB6" t="e">
        <f>AND(#REF!,"AAAAAHv/+k8=")</f>
        <v>#REF!</v>
      </c>
      <c r="CC6" t="e">
        <f>IF(#REF!,"AAAAAHv/+lA=",0)</f>
        <v>#REF!</v>
      </c>
      <c r="CD6" t="e">
        <f>AND(#REF!,"AAAAAHv/+lE=")</f>
        <v>#REF!</v>
      </c>
      <c r="CE6" t="e">
        <f>AND(#REF!,"AAAAAHv/+lI=")</f>
        <v>#REF!</v>
      </c>
      <c r="CF6" t="e">
        <f>AND(#REF!,"AAAAAHv/+lM=")</f>
        <v>#REF!</v>
      </c>
      <c r="CG6" t="e">
        <f>AND(#REF!,"AAAAAHv/+lQ=")</f>
        <v>#REF!</v>
      </c>
      <c r="CH6" t="e">
        <f>AND(#REF!,"AAAAAHv/+lU=")</f>
        <v>#REF!</v>
      </c>
      <c r="CI6" t="e">
        <f>AND(#REF!,"AAAAAHv/+lY=")</f>
        <v>#REF!</v>
      </c>
      <c r="CJ6" t="e">
        <f>AND(#REF!,"AAAAAHv/+lc=")</f>
        <v>#REF!</v>
      </c>
      <c r="CK6" t="e">
        <f>AND(#REF!,"AAAAAHv/+lg=")</f>
        <v>#REF!</v>
      </c>
      <c r="CL6" t="e">
        <f>AND(#REF!,"AAAAAHv/+lk=")</f>
        <v>#REF!</v>
      </c>
      <c r="CM6" t="e">
        <f>IF(#REF!,"AAAAAHv/+lo=",0)</f>
        <v>#REF!</v>
      </c>
      <c r="CN6" t="e">
        <f>AND(#REF!,"AAAAAHv/+ls=")</f>
        <v>#REF!</v>
      </c>
      <c r="CO6" t="e">
        <f>AND(#REF!,"AAAAAHv/+lw=")</f>
        <v>#REF!</v>
      </c>
      <c r="CP6" t="e">
        <f>AND(#REF!,"AAAAAHv/+l0=")</f>
        <v>#REF!</v>
      </c>
      <c r="CQ6" t="e">
        <f>AND(#REF!,"AAAAAHv/+l4=")</f>
        <v>#REF!</v>
      </c>
      <c r="CR6" t="e">
        <f>AND(#REF!,"AAAAAHv/+l8=")</f>
        <v>#REF!</v>
      </c>
      <c r="CS6" t="e">
        <f>AND(#REF!,"AAAAAHv/+mA=")</f>
        <v>#REF!</v>
      </c>
      <c r="CT6" t="e">
        <f>AND(#REF!,"AAAAAHv/+mE=")</f>
        <v>#REF!</v>
      </c>
      <c r="CU6" t="e">
        <f>AND(#REF!,"AAAAAHv/+mI=")</f>
        <v>#REF!</v>
      </c>
      <c r="CV6" t="e">
        <f>AND(#REF!,"AAAAAHv/+mM=")</f>
        <v>#REF!</v>
      </c>
      <c r="CW6" t="e">
        <f>IF(#REF!,"AAAAAHv/+mQ=",0)</f>
        <v>#REF!</v>
      </c>
      <c r="CX6" t="e">
        <f>AND(#REF!,"AAAAAHv/+mU=")</f>
        <v>#REF!</v>
      </c>
      <c r="CY6" t="e">
        <f>AND(#REF!,"AAAAAHv/+mY=")</f>
        <v>#REF!</v>
      </c>
      <c r="CZ6" t="e">
        <f>AND(#REF!,"AAAAAHv/+mc=")</f>
        <v>#REF!</v>
      </c>
      <c r="DA6" t="e">
        <f>AND(#REF!,"AAAAAHv/+mg=")</f>
        <v>#REF!</v>
      </c>
      <c r="DB6" t="e">
        <f>AND(#REF!,"AAAAAHv/+mk=")</f>
        <v>#REF!</v>
      </c>
      <c r="DC6" t="e">
        <f>AND(#REF!,"AAAAAHv/+mo=")</f>
        <v>#REF!</v>
      </c>
      <c r="DD6" t="e">
        <f>AND(#REF!,"AAAAAHv/+ms=")</f>
        <v>#REF!</v>
      </c>
      <c r="DE6" t="e">
        <f>AND(#REF!,"AAAAAHv/+mw=")</f>
        <v>#REF!</v>
      </c>
      <c r="DF6" t="e">
        <f>AND(#REF!,"AAAAAHv/+m0=")</f>
        <v>#REF!</v>
      </c>
      <c r="DG6" t="e">
        <f>IF(#REF!,"AAAAAHv/+m4=",0)</f>
        <v>#REF!</v>
      </c>
      <c r="DH6" t="e">
        <f>AND(#REF!,"AAAAAHv/+m8=")</f>
        <v>#REF!</v>
      </c>
      <c r="DI6" t="e">
        <f>AND(#REF!,"AAAAAHv/+nA=")</f>
        <v>#REF!</v>
      </c>
      <c r="DJ6" t="e">
        <f>AND(#REF!,"AAAAAHv/+nE=")</f>
        <v>#REF!</v>
      </c>
      <c r="DK6" t="e">
        <f>AND(#REF!,"AAAAAHv/+nI=")</f>
        <v>#REF!</v>
      </c>
      <c r="DL6" t="e">
        <f>AND(#REF!,"AAAAAHv/+nM=")</f>
        <v>#REF!</v>
      </c>
      <c r="DM6" t="e">
        <f>AND(#REF!,"AAAAAHv/+nQ=")</f>
        <v>#REF!</v>
      </c>
      <c r="DN6" t="e">
        <f>AND(#REF!,"AAAAAHv/+nU=")</f>
        <v>#REF!</v>
      </c>
      <c r="DO6" t="e">
        <f>AND(#REF!,"AAAAAHv/+nY=")</f>
        <v>#REF!</v>
      </c>
      <c r="DP6" t="e">
        <f>AND(#REF!,"AAAAAHv/+nc=")</f>
        <v>#REF!</v>
      </c>
      <c r="DQ6" t="e">
        <f>IF(#REF!,"AAAAAHv/+ng=",0)</f>
        <v>#REF!</v>
      </c>
      <c r="DR6" t="e">
        <f>AND(#REF!,"AAAAAHv/+nk=")</f>
        <v>#REF!</v>
      </c>
      <c r="DS6" t="e">
        <f>AND(#REF!,"AAAAAHv/+no=")</f>
        <v>#REF!</v>
      </c>
      <c r="DT6" t="e">
        <f>AND(#REF!,"AAAAAHv/+ns=")</f>
        <v>#REF!</v>
      </c>
      <c r="DU6" t="e">
        <f>AND(#REF!,"AAAAAHv/+nw=")</f>
        <v>#REF!</v>
      </c>
      <c r="DV6" t="e">
        <f>AND(#REF!,"AAAAAHv/+n0=")</f>
        <v>#REF!</v>
      </c>
      <c r="DW6" t="e">
        <f>AND(#REF!,"AAAAAHv/+n4=")</f>
        <v>#REF!</v>
      </c>
      <c r="DX6" t="e">
        <f>AND(#REF!,"AAAAAHv/+n8=")</f>
        <v>#REF!</v>
      </c>
      <c r="DY6" t="e">
        <f>AND(#REF!,"AAAAAHv/+oA=")</f>
        <v>#REF!</v>
      </c>
      <c r="DZ6" t="e">
        <f>AND(#REF!,"AAAAAHv/+oE=")</f>
        <v>#REF!</v>
      </c>
      <c r="EA6" t="e">
        <f>IF(#REF!,"AAAAAHv/+oI=",0)</f>
        <v>#REF!</v>
      </c>
      <c r="EB6" t="e">
        <f>AND(#REF!,"AAAAAHv/+oM=")</f>
        <v>#REF!</v>
      </c>
      <c r="EC6" t="e">
        <f>AND(#REF!,"AAAAAHv/+oQ=")</f>
        <v>#REF!</v>
      </c>
      <c r="ED6" t="e">
        <f>AND(#REF!,"AAAAAHv/+oU=")</f>
        <v>#REF!</v>
      </c>
      <c r="EE6" t="e">
        <f>AND(#REF!,"AAAAAHv/+oY=")</f>
        <v>#REF!</v>
      </c>
      <c r="EF6" t="e">
        <f>AND(#REF!,"AAAAAHv/+oc=")</f>
        <v>#REF!</v>
      </c>
      <c r="EG6" t="e">
        <f>AND(#REF!,"AAAAAHv/+og=")</f>
        <v>#REF!</v>
      </c>
      <c r="EH6" t="e">
        <f>AND(#REF!,"AAAAAHv/+ok=")</f>
        <v>#REF!</v>
      </c>
      <c r="EI6" t="e">
        <f>AND(#REF!,"AAAAAHv/+oo=")</f>
        <v>#REF!</v>
      </c>
      <c r="EJ6" t="e">
        <f>AND(#REF!,"AAAAAHv/+os=")</f>
        <v>#REF!</v>
      </c>
      <c r="EK6" t="e">
        <f>IF(#REF!,"AAAAAHv/+ow=",0)</f>
        <v>#REF!</v>
      </c>
      <c r="EL6" t="e">
        <f>AND(#REF!,"AAAAAHv/+o0=")</f>
        <v>#REF!</v>
      </c>
      <c r="EM6" t="e">
        <f>AND(#REF!,"AAAAAHv/+o4=")</f>
        <v>#REF!</v>
      </c>
      <c r="EN6" t="e">
        <f>AND(#REF!,"AAAAAHv/+o8=")</f>
        <v>#REF!</v>
      </c>
      <c r="EO6" t="e">
        <f>AND(#REF!,"AAAAAHv/+pA=")</f>
        <v>#REF!</v>
      </c>
      <c r="EP6" t="e">
        <f>AND(#REF!,"AAAAAHv/+pE=")</f>
        <v>#REF!</v>
      </c>
      <c r="EQ6" t="e">
        <f>AND(#REF!,"AAAAAHv/+pI=")</f>
        <v>#REF!</v>
      </c>
      <c r="ER6" t="e">
        <f>AND(#REF!,"AAAAAHv/+pM=")</f>
        <v>#REF!</v>
      </c>
      <c r="ES6" t="e">
        <f>AND(#REF!,"AAAAAHv/+pQ=")</f>
        <v>#REF!</v>
      </c>
      <c r="ET6" t="e">
        <f>AND(#REF!,"AAAAAHv/+pU=")</f>
        <v>#REF!</v>
      </c>
      <c r="EU6" t="e">
        <f>IF(#REF!,"AAAAAHv/+pY=",0)</f>
        <v>#REF!</v>
      </c>
      <c r="EV6" t="e">
        <f>AND(#REF!,"AAAAAHv/+pc=")</f>
        <v>#REF!</v>
      </c>
      <c r="EW6" t="e">
        <f>AND(#REF!,"AAAAAHv/+pg=")</f>
        <v>#REF!</v>
      </c>
      <c r="EX6" t="e">
        <f>AND(#REF!,"AAAAAHv/+pk=")</f>
        <v>#REF!</v>
      </c>
      <c r="EY6" t="e">
        <f>AND(#REF!,"AAAAAHv/+po=")</f>
        <v>#REF!</v>
      </c>
      <c r="EZ6" t="e">
        <f>AND(#REF!,"AAAAAHv/+ps=")</f>
        <v>#REF!</v>
      </c>
      <c r="FA6" t="e">
        <f>AND(#REF!,"AAAAAHv/+pw=")</f>
        <v>#REF!</v>
      </c>
      <c r="FB6" t="e">
        <f>AND(#REF!,"AAAAAHv/+p0=")</f>
        <v>#REF!</v>
      </c>
      <c r="FC6" t="e">
        <f>AND(#REF!,"AAAAAHv/+p4=")</f>
        <v>#REF!</v>
      </c>
      <c r="FD6" t="e">
        <f>AND(#REF!,"AAAAAHv/+p8=")</f>
        <v>#REF!</v>
      </c>
      <c r="FE6" t="e">
        <f>IF(#REF!,"AAAAAHv/+qA=",0)</f>
        <v>#REF!</v>
      </c>
      <c r="FF6" t="e">
        <f>AND(#REF!,"AAAAAHv/+qE=")</f>
        <v>#REF!</v>
      </c>
      <c r="FG6" t="e">
        <f>AND(#REF!,"AAAAAHv/+qI=")</f>
        <v>#REF!</v>
      </c>
      <c r="FH6" t="e">
        <f>AND(#REF!,"AAAAAHv/+qM=")</f>
        <v>#REF!</v>
      </c>
      <c r="FI6" t="e">
        <f>AND(#REF!,"AAAAAHv/+qQ=")</f>
        <v>#REF!</v>
      </c>
      <c r="FJ6" t="e">
        <f>AND(#REF!,"AAAAAHv/+qU=")</f>
        <v>#REF!</v>
      </c>
      <c r="FK6" t="e">
        <f>AND(#REF!,"AAAAAHv/+qY=")</f>
        <v>#REF!</v>
      </c>
      <c r="FL6" t="e">
        <f>AND(#REF!,"AAAAAHv/+qc=")</f>
        <v>#REF!</v>
      </c>
      <c r="FM6" t="e">
        <f>AND(#REF!,"AAAAAHv/+qg=")</f>
        <v>#REF!</v>
      </c>
      <c r="FN6" t="e">
        <f>AND(#REF!,"AAAAAHv/+qk=")</f>
        <v>#REF!</v>
      </c>
      <c r="FO6" t="e">
        <f>IF(#REF!,"AAAAAHv/+qo=",0)</f>
        <v>#REF!</v>
      </c>
      <c r="FP6" t="e">
        <f>AND(#REF!,"AAAAAHv/+qs=")</f>
        <v>#REF!</v>
      </c>
      <c r="FQ6" t="e">
        <f>AND(#REF!,"AAAAAHv/+qw=")</f>
        <v>#REF!</v>
      </c>
      <c r="FR6" t="e">
        <f>AND(#REF!,"AAAAAHv/+q0=")</f>
        <v>#REF!</v>
      </c>
      <c r="FS6" t="e">
        <f>AND(#REF!,"AAAAAHv/+q4=")</f>
        <v>#REF!</v>
      </c>
      <c r="FT6" t="e">
        <f>AND(#REF!,"AAAAAHv/+q8=")</f>
        <v>#REF!</v>
      </c>
      <c r="FU6" t="e">
        <f>AND(#REF!,"AAAAAHv/+rA=")</f>
        <v>#REF!</v>
      </c>
      <c r="FV6" t="e">
        <f>AND(#REF!,"AAAAAHv/+rE=")</f>
        <v>#REF!</v>
      </c>
      <c r="FW6" t="e">
        <f>AND(#REF!,"AAAAAHv/+rI=")</f>
        <v>#REF!</v>
      </c>
      <c r="FX6" t="e">
        <f>AND(#REF!,"AAAAAHv/+rM=")</f>
        <v>#REF!</v>
      </c>
      <c r="FY6" t="e">
        <f>IF(#REF!,"AAAAAHv/+rQ=",0)</f>
        <v>#REF!</v>
      </c>
      <c r="FZ6" t="e">
        <f>AND(#REF!,"AAAAAHv/+rU=")</f>
        <v>#REF!</v>
      </c>
      <c r="GA6" t="e">
        <f>AND(#REF!,"AAAAAHv/+rY=")</f>
        <v>#REF!</v>
      </c>
      <c r="GB6" t="e">
        <f>AND(#REF!,"AAAAAHv/+rc=")</f>
        <v>#REF!</v>
      </c>
      <c r="GC6" t="e">
        <f>AND(#REF!,"AAAAAHv/+rg=")</f>
        <v>#REF!</v>
      </c>
      <c r="GD6" t="e">
        <f>AND(#REF!,"AAAAAHv/+rk=")</f>
        <v>#REF!</v>
      </c>
      <c r="GE6" t="e">
        <f>AND(#REF!,"AAAAAHv/+ro=")</f>
        <v>#REF!</v>
      </c>
      <c r="GF6" t="e">
        <f>AND(#REF!,"AAAAAHv/+rs=")</f>
        <v>#REF!</v>
      </c>
      <c r="GG6" t="e">
        <f>AND(#REF!,"AAAAAHv/+rw=")</f>
        <v>#REF!</v>
      </c>
      <c r="GH6" t="e">
        <f>AND(#REF!,"AAAAAHv/+r0=")</f>
        <v>#REF!</v>
      </c>
      <c r="GI6" t="e">
        <f>IF(#REF!,"AAAAAHv/+r4=",0)</f>
        <v>#REF!</v>
      </c>
      <c r="GJ6" t="e">
        <f>AND(#REF!,"AAAAAHv/+r8=")</f>
        <v>#REF!</v>
      </c>
      <c r="GK6" t="e">
        <f>AND(#REF!,"AAAAAHv/+sA=")</f>
        <v>#REF!</v>
      </c>
      <c r="GL6" t="e">
        <f>AND(#REF!,"AAAAAHv/+sE=")</f>
        <v>#REF!</v>
      </c>
      <c r="GM6" t="e">
        <f>AND(#REF!,"AAAAAHv/+sI=")</f>
        <v>#REF!</v>
      </c>
      <c r="GN6" t="e">
        <f>AND(#REF!,"AAAAAHv/+sM=")</f>
        <v>#REF!</v>
      </c>
      <c r="GO6" t="e">
        <f>AND(#REF!,"AAAAAHv/+sQ=")</f>
        <v>#REF!</v>
      </c>
      <c r="GP6" t="e">
        <f>AND(#REF!,"AAAAAHv/+sU=")</f>
        <v>#REF!</v>
      </c>
      <c r="GQ6" t="e">
        <f>AND(#REF!,"AAAAAHv/+sY=")</f>
        <v>#REF!</v>
      </c>
      <c r="GR6" t="e">
        <f>AND(#REF!,"AAAAAHv/+sc=")</f>
        <v>#REF!</v>
      </c>
      <c r="GS6" t="e">
        <f>IF(#REF!,"AAAAAHv/+sg=",0)</f>
        <v>#REF!</v>
      </c>
      <c r="GT6" t="e">
        <f>AND(#REF!,"AAAAAHv/+sk=")</f>
        <v>#REF!</v>
      </c>
      <c r="GU6" t="e">
        <f>AND(#REF!,"AAAAAHv/+so=")</f>
        <v>#REF!</v>
      </c>
      <c r="GV6" t="e">
        <f>AND(#REF!,"AAAAAHv/+ss=")</f>
        <v>#REF!</v>
      </c>
      <c r="GW6" t="e">
        <f>AND(#REF!,"AAAAAHv/+sw=")</f>
        <v>#REF!</v>
      </c>
      <c r="GX6" t="e">
        <f>AND(#REF!,"AAAAAHv/+s0=")</f>
        <v>#REF!</v>
      </c>
      <c r="GY6" t="e">
        <f>AND(#REF!,"AAAAAHv/+s4=")</f>
        <v>#REF!</v>
      </c>
      <c r="GZ6" t="e">
        <f>AND(#REF!,"AAAAAHv/+s8=")</f>
        <v>#REF!</v>
      </c>
      <c r="HA6" t="e">
        <f>AND(#REF!,"AAAAAHv/+tA=")</f>
        <v>#REF!</v>
      </c>
      <c r="HB6" t="e">
        <f>AND(#REF!,"AAAAAHv/+tE=")</f>
        <v>#REF!</v>
      </c>
      <c r="HC6" t="e">
        <f>IF(#REF!,"AAAAAHv/+tI=",0)</f>
        <v>#REF!</v>
      </c>
      <c r="HD6" t="e">
        <f>IF(#REF!,"AAAAAHv/+tM=",0)</f>
        <v>#REF!</v>
      </c>
      <c r="HE6" t="e">
        <f>IF(#REF!,"AAAAAHv/+tQ=",0)</f>
        <v>#REF!</v>
      </c>
      <c r="HF6" t="e">
        <f>IF(#REF!,"AAAAAHv/+tU=",0)</f>
        <v>#REF!</v>
      </c>
      <c r="HG6" t="e">
        <f>IF(#REF!,"AAAAAHv/+tY=",0)</f>
        <v>#REF!</v>
      </c>
      <c r="HH6" t="e">
        <f>IF(#REF!,"AAAAAHv/+tc=",0)</f>
        <v>#REF!</v>
      </c>
      <c r="HI6" t="e">
        <f>IF(#REF!,"AAAAAHv/+tg=",0)</f>
        <v>#REF!</v>
      </c>
      <c r="HJ6" t="e">
        <f>IF(#REF!,"AAAAAHv/+tk=",0)</f>
        <v>#REF!</v>
      </c>
      <c r="HK6" t="e">
        <f>IF(#REF!,"AAAAAHv/+to=",0)</f>
        <v>#REF!</v>
      </c>
      <c r="HL6" t="e">
        <f>IF(#REF!,"AAAAAHv/+ts=",0)</f>
        <v>#REF!</v>
      </c>
      <c r="HM6" t="e">
        <f>AND(#REF!,"AAAAAHv/+tw=")</f>
        <v>#REF!</v>
      </c>
      <c r="HN6" t="e">
        <f>AND(#REF!,"AAAAAHv/+t0=")</f>
        <v>#REF!</v>
      </c>
      <c r="HO6" t="e">
        <f>AND(#REF!,"AAAAAHv/+t4=")</f>
        <v>#REF!</v>
      </c>
      <c r="HP6" t="e">
        <f>AND(#REF!,"AAAAAHv/+t8=")</f>
        <v>#REF!</v>
      </c>
      <c r="HQ6" t="e">
        <f>AND(#REF!,"AAAAAHv/+uA=")</f>
        <v>#REF!</v>
      </c>
      <c r="HR6" t="e">
        <f>AND(#REF!,"AAAAAHv/+uE=")</f>
        <v>#REF!</v>
      </c>
      <c r="HS6" t="e">
        <f>AND(#REF!,"AAAAAHv/+uI=")</f>
        <v>#REF!</v>
      </c>
      <c r="HT6" t="e">
        <f>AND(#REF!,"AAAAAHv/+uM=")</f>
        <v>#REF!</v>
      </c>
      <c r="HU6" t="e">
        <f>IF(#REF!,"AAAAAHv/+uQ=",0)</f>
        <v>#REF!</v>
      </c>
      <c r="HV6" t="e">
        <f>AND(#REF!,"AAAAAHv/+uU=")</f>
        <v>#REF!</v>
      </c>
      <c r="HW6" t="e">
        <f>AND(#REF!,"AAAAAHv/+uY=")</f>
        <v>#REF!</v>
      </c>
      <c r="HX6" t="e">
        <f>AND(#REF!,"AAAAAHv/+uc=")</f>
        <v>#REF!</v>
      </c>
      <c r="HY6" t="e">
        <f>AND(#REF!,"AAAAAHv/+ug=")</f>
        <v>#REF!</v>
      </c>
      <c r="HZ6" t="e">
        <f>AND(#REF!,"AAAAAHv/+uk=")</f>
        <v>#REF!</v>
      </c>
      <c r="IA6" t="e">
        <f>AND(#REF!,"AAAAAHv/+uo=")</f>
        <v>#REF!</v>
      </c>
      <c r="IB6" t="e">
        <f>AND(#REF!,"AAAAAHv/+us=")</f>
        <v>#REF!</v>
      </c>
      <c r="IC6" t="e">
        <f>AND(#REF!,"AAAAAHv/+uw=")</f>
        <v>#REF!</v>
      </c>
      <c r="ID6" t="e">
        <f>IF(#REF!,"AAAAAHv/+u0=",0)</f>
        <v>#REF!</v>
      </c>
      <c r="IE6" t="e">
        <f>AND(#REF!,"AAAAAHv/+u4=")</f>
        <v>#REF!</v>
      </c>
      <c r="IF6" t="e">
        <f>AND(#REF!,"AAAAAHv/+u8=")</f>
        <v>#REF!</v>
      </c>
      <c r="IG6" t="e">
        <f>AND(#REF!,"AAAAAHv/+vA=")</f>
        <v>#REF!</v>
      </c>
      <c r="IH6" t="e">
        <f>AND(#REF!,"AAAAAHv/+vE=")</f>
        <v>#REF!</v>
      </c>
      <c r="II6" t="e">
        <f>AND(#REF!,"AAAAAHv/+vI=")</f>
        <v>#REF!</v>
      </c>
      <c r="IJ6" t="e">
        <f>AND(#REF!,"AAAAAHv/+vM=")</f>
        <v>#REF!</v>
      </c>
      <c r="IK6" t="e">
        <f>AND(#REF!,"AAAAAHv/+vQ=")</f>
        <v>#REF!</v>
      </c>
      <c r="IL6" t="e">
        <f>AND(#REF!,"AAAAAHv/+vU=")</f>
        <v>#REF!</v>
      </c>
      <c r="IM6" t="e">
        <f>IF(#REF!,"AAAAAHv/+vY=",0)</f>
        <v>#REF!</v>
      </c>
      <c r="IN6" t="e">
        <f>AND(#REF!,"AAAAAHv/+vc=")</f>
        <v>#REF!</v>
      </c>
      <c r="IO6" t="e">
        <f>AND(#REF!,"AAAAAHv/+vg=")</f>
        <v>#REF!</v>
      </c>
      <c r="IP6" t="e">
        <f>AND(#REF!,"AAAAAHv/+vk=")</f>
        <v>#REF!</v>
      </c>
      <c r="IQ6" t="e">
        <f>AND(#REF!,"AAAAAHv/+vo=")</f>
        <v>#REF!</v>
      </c>
      <c r="IR6" t="e">
        <f>AND(#REF!,"AAAAAHv/+vs=")</f>
        <v>#REF!</v>
      </c>
      <c r="IS6" t="e">
        <f>AND(#REF!,"AAAAAHv/+vw=")</f>
        <v>#REF!</v>
      </c>
      <c r="IT6" t="e">
        <f>AND(#REF!,"AAAAAHv/+v0=")</f>
        <v>#REF!</v>
      </c>
      <c r="IU6" t="e">
        <f>AND(#REF!,"AAAAAHv/+v4=")</f>
        <v>#REF!</v>
      </c>
      <c r="IV6" t="e">
        <f>IF(#REF!,"AAAAAHv/+v8=",0)</f>
        <v>#REF!</v>
      </c>
    </row>
    <row r="7" spans="1:256">
      <c r="A7" t="e">
        <f>AND(#REF!,"AAAAAF/Z3wA=")</f>
        <v>#REF!</v>
      </c>
      <c r="B7" t="e">
        <f>AND(#REF!,"AAAAAF/Z3wE=")</f>
        <v>#REF!</v>
      </c>
      <c r="C7" t="e">
        <f>AND(#REF!,"AAAAAF/Z3wI=")</f>
        <v>#REF!</v>
      </c>
      <c r="D7" t="e">
        <f>AND(#REF!,"AAAAAF/Z3wM=")</f>
        <v>#REF!</v>
      </c>
      <c r="E7" t="e">
        <f>AND(#REF!,"AAAAAF/Z3wQ=")</f>
        <v>#REF!</v>
      </c>
      <c r="F7" t="e">
        <f>AND(#REF!,"AAAAAF/Z3wU=")</f>
        <v>#REF!</v>
      </c>
      <c r="G7" t="e">
        <f>AND(#REF!,"AAAAAF/Z3wY=")</f>
        <v>#REF!</v>
      </c>
      <c r="H7" t="e">
        <f>AND(#REF!,"AAAAAF/Z3wc=")</f>
        <v>#REF!</v>
      </c>
      <c r="I7" t="e">
        <f>IF(#REF!,"AAAAAF/Z3wg=",0)</f>
        <v>#REF!</v>
      </c>
      <c r="J7" t="e">
        <f>AND(#REF!,"AAAAAF/Z3wk=")</f>
        <v>#REF!</v>
      </c>
      <c r="K7" t="e">
        <f>AND(#REF!,"AAAAAF/Z3wo=")</f>
        <v>#REF!</v>
      </c>
      <c r="L7" t="e">
        <f>AND(#REF!,"AAAAAF/Z3ws=")</f>
        <v>#REF!</v>
      </c>
      <c r="M7" t="e">
        <f>AND(#REF!,"AAAAAF/Z3ww=")</f>
        <v>#REF!</v>
      </c>
      <c r="N7" t="e">
        <f>AND(#REF!,"AAAAAF/Z3w0=")</f>
        <v>#REF!</v>
      </c>
      <c r="O7" t="e">
        <f>AND(#REF!,"AAAAAF/Z3w4=")</f>
        <v>#REF!</v>
      </c>
      <c r="P7" t="e">
        <f>AND(#REF!,"AAAAAF/Z3w8=")</f>
        <v>#REF!</v>
      </c>
      <c r="Q7" t="e">
        <f>AND(#REF!,"AAAAAF/Z3xA=")</f>
        <v>#REF!</v>
      </c>
      <c r="R7" t="e">
        <f>IF(#REF!,"AAAAAF/Z3xE=",0)</f>
        <v>#REF!</v>
      </c>
      <c r="S7" t="e">
        <f>AND(#REF!,"AAAAAF/Z3xI=")</f>
        <v>#REF!</v>
      </c>
      <c r="T7" t="e">
        <f>AND(#REF!,"AAAAAF/Z3xM=")</f>
        <v>#REF!</v>
      </c>
      <c r="U7" t="e">
        <f>AND(#REF!,"AAAAAF/Z3xQ=")</f>
        <v>#REF!</v>
      </c>
      <c r="V7" t="e">
        <f>AND(#REF!,"AAAAAF/Z3xU=")</f>
        <v>#REF!</v>
      </c>
      <c r="W7" t="e">
        <f>AND(#REF!,"AAAAAF/Z3xY=")</f>
        <v>#REF!</v>
      </c>
      <c r="X7" t="e">
        <f>AND(#REF!,"AAAAAF/Z3xc=")</f>
        <v>#REF!</v>
      </c>
      <c r="Y7" t="e">
        <f>AND(#REF!,"AAAAAF/Z3xg=")</f>
        <v>#REF!</v>
      </c>
      <c r="Z7" t="e">
        <f>AND(#REF!,"AAAAAF/Z3xk=")</f>
        <v>#REF!</v>
      </c>
      <c r="AA7" t="e">
        <f>IF(#REF!,"AAAAAF/Z3xo=",0)</f>
        <v>#REF!</v>
      </c>
      <c r="AB7" t="e">
        <f>AND(#REF!,"AAAAAF/Z3xs=")</f>
        <v>#REF!</v>
      </c>
      <c r="AC7" t="e">
        <f>AND(#REF!,"AAAAAF/Z3xw=")</f>
        <v>#REF!</v>
      </c>
      <c r="AD7" t="e">
        <f>AND(#REF!,"AAAAAF/Z3x0=")</f>
        <v>#REF!</v>
      </c>
      <c r="AE7" t="e">
        <f>AND(#REF!,"AAAAAF/Z3x4=")</f>
        <v>#REF!</v>
      </c>
      <c r="AF7" t="e">
        <f>AND(#REF!,"AAAAAF/Z3x8=")</f>
        <v>#REF!</v>
      </c>
      <c r="AG7" t="e">
        <f>AND(#REF!,"AAAAAF/Z3yA=")</f>
        <v>#REF!</v>
      </c>
      <c r="AH7" t="e">
        <f>AND(#REF!,"AAAAAF/Z3yE=")</f>
        <v>#REF!</v>
      </c>
      <c r="AI7" t="e">
        <f>AND(#REF!,"AAAAAF/Z3yI=")</f>
        <v>#REF!</v>
      </c>
      <c r="AJ7" t="e">
        <f>IF(#REF!,"AAAAAF/Z3yM=",0)</f>
        <v>#REF!</v>
      </c>
      <c r="AK7" t="e">
        <f>AND(#REF!,"AAAAAF/Z3yQ=")</f>
        <v>#REF!</v>
      </c>
      <c r="AL7" t="e">
        <f>AND(#REF!,"AAAAAF/Z3yU=")</f>
        <v>#REF!</v>
      </c>
      <c r="AM7" t="e">
        <f>AND(#REF!,"AAAAAF/Z3yY=")</f>
        <v>#REF!</v>
      </c>
      <c r="AN7" t="e">
        <f>AND(#REF!,"AAAAAF/Z3yc=")</f>
        <v>#REF!</v>
      </c>
      <c r="AO7" t="e">
        <f>AND(#REF!,"AAAAAF/Z3yg=")</f>
        <v>#REF!</v>
      </c>
      <c r="AP7" t="e">
        <f>AND(#REF!,"AAAAAF/Z3yk=")</f>
        <v>#REF!</v>
      </c>
      <c r="AQ7" t="e">
        <f>AND(#REF!,"AAAAAF/Z3yo=")</f>
        <v>#REF!</v>
      </c>
      <c r="AR7" t="e">
        <f>AND(#REF!,"AAAAAF/Z3ys=")</f>
        <v>#REF!</v>
      </c>
      <c r="AS7" t="e">
        <f>IF(#REF!,"AAAAAF/Z3yw=",0)</f>
        <v>#REF!</v>
      </c>
      <c r="AT7" t="e">
        <f>AND(#REF!,"AAAAAF/Z3y0=")</f>
        <v>#REF!</v>
      </c>
      <c r="AU7" t="e">
        <f>AND(#REF!,"AAAAAF/Z3y4=")</f>
        <v>#REF!</v>
      </c>
      <c r="AV7" t="e">
        <f>AND(#REF!,"AAAAAF/Z3y8=")</f>
        <v>#REF!</v>
      </c>
      <c r="AW7" t="e">
        <f>AND(#REF!,"AAAAAF/Z3zA=")</f>
        <v>#REF!</v>
      </c>
      <c r="AX7" t="e">
        <f>AND(#REF!,"AAAAAF/Z3zE=")</f>
        <v>#REF!</v>
      </c>
      <c r="AY7" t="e">
        <f>AND(#REF!,"AAAAAF/Z3zI=")</f>
        <v>#REF!</v>
      </c>
      <c r="AZ7" t="e">
        <f>AND(#REF!,"AAAAAF/Z3zM=")</f>
        <v>#REF!</v>
      </c>
      <c r="BA7" t="e">
        <f>AND(#REF!,"AAAAAF/Z3zQ=")</f>
        <v>#REF!</v>
      </c>
      <c r="BB7" t="e">
        <f>IF(#REF!,"AAAAAF/Z3zU=",0)</f>
        <v>#REF!</v>
      </c>
      <c r="BC7" t="e">
        <f>AND(#REF!,"AAAAAF/Z3zY=")</f>
        <v>#REF!</v>
      </c>
      <c r="BD7" t="e">
        <f>AND(#REF!,"AAAAAF/Z3zc=")</f>
        <v>#REF!</v>
      </c>
      <c r="BE7" t="e">
        <f>AND(#REF!,"AAAAAF/Z3zg=")</f>
        <v>#REF!</v>
      </c>
      <c r="BF7" t="e">
        <f>AND(#REF!,"AAAAAF/Z3zk=")</f>
        <v>#REF!</v>
      </c>
      <c r="BG7" t="e">
        <f>AND(#REF!,"AAAAAF/Z3zo=")</f>
        <v>#REF!</v>
      </c>
      <c r="BH7" t="e">
        <f>AND(#REF!,"AAAAAF/Z3zs=")</f>
        <v>#REF!</v>
      </c>
      <c r="BI7" t="e">
        <f>AND(#REF!,"AAAAAF/Z3zw=")</f>
        <v>#REF!</v>
      </c>
      <c r="BJ7" t="e">
        <f>AND(#REF!,"AAAAAF/Z3z0=")</f>
        <v>#REF!</v>
      </c>
      <c r="BK7" t="e">
        <f>IF(#REF!,"AAAAAF/Z3z4=",0)</f>
        <v>#REF!</v>
      </c>
      <c r="BL7" t="e">
        <f>AND(#REF!,"AAAAAF/Z3z8=")</f>
        <v>#REF!</v>
      </c>
      <c r="BM7" t="e">
        <f>IF(#REF!,"AAAAAF/Z30A=",0)</f>
        <v>#REF!</v>
      </c>
      <c r="BN7" t="e">
        <f>IF(#REF!,"AAAAAF/Z30E=",0)</f>
        <v>#REF!</v>
      </c>
      <c r="BO7" t="e">
        <f>IF(#REF!,"AAAAAF/Z30I=",0)</f>
        <v>#REF!</v>
      </c>
      <c r="BP7" t="e">
        <f>IF(#REF!,"AAAAAF/Z30M=",0)</f>
        <v>#REF!</v>
      </c>
      <c r="BQ7" t="e">
        <f>IF(#REF!,"AAAAAF/Z30Q=",0)</f>
        <v>#REF!</v>
      </c>
      <c r="BR7" t="e">
        <f>IF(#REF!,"AAAAAF/Z30U=",0)</f>
        <v>#REF!</v>
      </c>
      <c r="BS7" t="e">
        <f>IF(#REF!,"AAAAAF/Z30Y=",0)</f>
        <v>#REF!</v>
      </c>
      <c r="BT7" t="e">
        <f>IF(#REF!,"AAAAAF/Z30c=",0)</f>
        <v>#REF!</v>
      </c>
      <c r="BU7" t="e">
        <f>IF(#REF!,"AAAAAF/Z30g=",0)</f>
        <v>#REF!</v>
      </c>
      <c r="BV7" t="e">
        <f>AND(#REF!,"AAAAAF/Z30k=")</f>
        <v>#REF!</v>
      </c>
      <c r="BW7" t="e">
        <f>AND(#REF!,"AAAAAF/Z30o=")</f>
        <v>#REF!</v>
      </c>
      <c r="BX7" t="e">
        <f>AND(#REF!,"AAAAAF/Z30s=")</f>
        <v>#REF!</v>
      </c>
      <c r="BY7" t="e">
        <f>AND(#REF!,"AAAAAF/Z30w=")</f>
        <v>#REF!</v>
      </c>
      <c r="BZ7" t="e">
        <f>AND(#REF!,"AAAAAF/Z300=")</f>
        <v>#REF!</v>
      </c>
      <c r="CA7" t="e">
        <f>AND(#REF!,"AAAAAF/Z304=")</f>
        <v>#REF!</v>
      </c>
      <c r="CB7" t="e">
        <f>AND(#REF!,"AAAAAF/Z308=")</f>
        <v>#REF!</v>
      </c>
      <c r="CC7" t="e">
        <f>AND(#REF!,"AAAAAF/Z31A=")</f>
        <v>#REF!</v>
      </c>
      <c r="CD7" t="e">
        <f>IF(#REF!,"AAAAAF/Z31E=",0)</f>
        <v>#REF!</v>
      </c>
      <c r="CE7" t="e">
        <f>AND(#REF!,"AAAAAF/Z31I=")</f>
        <v>#REF!</v>
      </c>
      <c r="CF7" t="e">
        <f>AND(#REF!,"AAAAAF/Z31M=")</f>
        <v>#REF!</v>
      </c>
      <c r="CG7" t="e">
        <f>AND(#REF!,"AAAAAF/Z31Q=")</f>
        <v>#REF!</v>
      </c>
      <c r="CH7" t="e">
        <f>AND(#REF!,"AAAAAF/Z31U=")</f>
        <v>#REF!</v>
      </c>
      <c r="CI7" t="e">
        <f>AND(#REF!,"AAAAAF/Z31Y=")</f>
        <v>#REF!</v>
      </c>
      <c r="CJ7" t="e">
        <f>AND(#REF!,"AAAAAF/Z31c=")</f>
        <v>#REF!</v>
      </c>
      <c r="CK7" t="e">
        <f>AND(#REF!,"AAAAAF/Z31g=")</f>
        <v>#REF!</v>
      </c>
      <c r="CL7" t="e">
        <f>AND(#REF!,"AAAAAF/Z31k=")</f>
        <v>#REF!</v>
      </c>
      <c r="CM7" t="e">
        <f>IF(#REF!,"AAAAAF/Z31o=",0)</f>
        <v>#REF!</v>
      </c>
      <c r="CN7" t="e">
        <f>AND(#REF!,"AAAAAF/Z31s=")</f>
        <v>#REF!</v>
      </c>
      <c r="CO7" t="e">
        <f>AND(#REF!,"AAAAAF/Z31w=")</f>
        <v>#REF!</v>
      </c>
      <c r="CP7" t="e">
        <f>AND(#REF!,"AAAAAF/Z310=")</f>
        <v>#REF!</v>
      </c>
      <c r="CQ7" t="e">
        <f>AND(#REF!,"AAAAAF/Z314=")</f>
        <v>#REF!</v>
      </c>
      <c r="CR7" t="e">
        <f>AND(#REF!,"AAAAAF/Z318=")</f>
        <v>#REF!</v>
      </c>
      <c r="CS7" t="e">
        <f>AND(#REF!,"AAAAAF/Z32A=")</f>
        <v>#REF!</v>
      </c>
      <c r="CT7" t="e">
        <f>AND(#REF!,"AAAAAF/Z32E=")</f>
        <v>#REF!</v>
      </c>
      <c r="CU7" t="e">
        <f>AND(#REF!,"AAAAAF/Z32I=")</f>
        <v>#REF!</v>
      </c>
      <c r="CV7" t="e">
        <f>IF(#REF!,"AAAAAF/Z32M=",0)</f>
        <v>#REF!</v>
      </c>
      <c r="CW7" t="e">
        <f>AND(#REF!,"AAAAAF/Z32Q=")</f>
        <v>#REF!</v>
      </c>
      <c r="CX7" t="e">
        <f>AND(#REF!,"AAAAAF/Z32U=")</f>
        <v>#REF!</v>
      </c>
      <c r="CY7" t="e">
        <f>AND(#REF!,"AAAAAF/Z32Y=")</f>
        <v>#REF!</v>
      </c>
      <c r="CZ7" t="e">
        <f>AND(#REF!,"AAAAAF/Z32c=")</f>
        <v>#REF!</v>
      </c>
      <c r="DA7" t="e">
        <f>AND(#REF!,"AAAAAF/Z32g=")</f>
        <v>#REF!</v>
      </c>
      <c r="DB7" t="e">
        <f>AND(#REF!,"AAAAAF/Z32k=")</f>
        <v>#REF!</v>
      </c>
      <c r="DC7" t="e">
        <f>AND(#REF!,"AAAAAF/Z32o=")</f>
        <v>#REF!</v>
      </c>
      <c r="DD7" t="e">
        <f>AND(#REF!,"AAAAAF/Z32s=")</f>
        <v>#REF!</v>
      </c>
      <c r="DE7" t="e">
        <f>IF(#REF!,"AAAAAF/Z32w=",0)</f>
        <v>#REF!</v>
      </c>
      <c r="DF7" t="e">
        <f>AND(#REF!,"AAAAAF/Z320=")</f>
        <v>#REF!</v>
      </c>
      <c r="DG7" t="e">
        <f>AND(#REF!,"AAAAAF/Z324=")</f>
        <v>#REF!</v>
      </c>
      <c r="DH7" t="e">
        <f>AND(#REF!,"AAAAAF/Z328=")</f>
        <v>#REF!</v>
      </c>
      <c r="DI7" t="e">
        <f>AND(#REF!,"AAAAAF/Z33A=")</f>
        <v>#REF!</v>
      </c>
      <c r="DJ7" t="e">
        <f>AND(#REF!,"AAAAAF/Z33E=")</f>
        <v>#REF!</v>
      </c>
      <c r="DK7" t="e">
        <f>AND(#REF!,"AAAAAF/Z33I=")</f>
        <v>#REF!</v>
      </c>
      <c r="DL7" t="e">
        <f>AND(#REF!,"AAAAAF/Z33M=")</f>
        <v>#REF!</v>
      </c>
      <c r="DM7" t="e">
        <f>AND(#REF!,"AAAAAF/Z33Q=")</f>
        <v>#REF!</v>
      </c>
      <c r="DN7" t="e">
        <f>IF(#REF!,"AAAAAF/Z33U=",0)</f>
        <v>#REF!</v>
      </c>
      <c r="DO7" t="e">
        <f>AND(#REF!,"AAAAAF/Z33Y=")</f>
        <v>#REF!</v>
      </c>
      <c r="DP7" t="e">
        <f>AND(#REF!,"AAAAAF/Z33c=")</f>
        <v>#REF!</v>
      </c>
      <c r="DQ7" t="e">
        <f>AND(#REF!,"AAAAAF/Z33g=")</f>
        <v>#REF!</v>
      </c>
      <c r="DR7" t="e">
        <f>AND(#REF!,"AAAAAF/Z33k=")</f>
        <v>#REF!</v>
      </c>
      <c r="DS7" t="e">
        <f>AND(#REF!,"AAAAAF/Z33o=")</f>
        <v>#REF!</v>
      </c>
      <c r="DT7" t="e">
        <f>AND(#REF!,"AAAAAF/Z33s=")</f>
        <v>#REF!</v>
      </c>
      <c r="DU7" t="e">
        <f>AND(#REF!,"AAAAAF/Z33w=")</f>
        <v>#REF!</v>
      </c>
      <c r="DV7" t="e">
        <f>AND(#REF!,"AAAAAF/Z330=")</f>
        <v>#REF!</v>
      </c>
      <c r="DW7" t="e">
        <f>IF(#REF!,"AAAAAF/Z334=",0)</f>
        <v>#REF!</v>
      </c>
      <c r="DX7" t="e">
        <f>AND(#REF!,"AAAAAF/Z338=")</f>
        <v>#REF!</v>
      </c>
      <c r="DY7" t="e">
        <f>AND(#REF!,"AAAAAF/Z34A=")</f>
        <v>#REF!</v>
      </c>
      <c r="DZ7" t="e">
        <f>AND(#REF!,"AAAAAF/Z34E=")</f>
        <v>#REF!</v>
      </c>
      <c r="EA7" t="e">
        <f>AND(#REF!,"AAAAAF/Z34I=")</f>
        <v>#REF!</v>
      </c>
      <c r="EB7" t="e">
        <f>AND(#REF!,"AAAAAF/Z34M=")</f>
        <v>#REF!</v>
      </c>
      <c r="EC7" t="e">
        <f>AND(#REF!,"AAAAAF/Z34Q=")</f>
        <v>#REF!</v>
      </c>
      <c r="ED7" t="e">
        <f>AND(#REF!,"AAAAAF/Z34U=")</f>
        <v>#REF!</v>
      </c>
      <c r="EE7" t="e">
        <f>AND(#REF!,"AAAAAF/Z34Y=")</f>
        <v>#REF!</v>
      </c>
      <c r="EF7" t="e">
        <f>IF(#REF!,"AAAAAF/Z34c=",0)</f>
        <v>#REF!</v>
      </c>
      <c r="EG7" t="e">
        <f>AND(#REF!,"AAAAAF/Z34g=")</f>
        <v>#REF!</v>
      </c>
      <c r="EH7" t="e">
        <f>AND(#REF!,"AAAAAF/Z34k=")</f>
        <v>#REF!</v>
      </c>
      <c r="EI7" t="e">
        <f>AND(#REF!,"AAAAAF/Z34o=")</f>
        <v>#REF!</v>
      </c>
      <c r="EJ7" t="e">
        <f>AND(#REF!,"AAAAAF/Z34s=")</f>
        <v>#REF!</v>
      </c>
      <c r="EK7" t="e">
        <f>AND(#REF!,"AAAAAF/Z34w=")</f>
        <v>#REF!</v>
      </c>
      <c r="EL7" t="e">
        <f>AND(#REF!,"AAAAAF/Z340=")</f>
        <v>#REF!</v>
      </c>
      <c r="EM7" t="e">
        <f>AND(#REF!,"AAAAAF/Z344=")</f>
        <v>#REF!</v>
      </c>
      <c r="EN7" t="e">
        <f>AND(#REF!,"AAAAAF/Z348=")</f>
        <v>#REF!</v>
      </c>
      <c r="EO7" t="e">
        <f>IF(#REF!,"AAAAAF/Z35A=",0)</f>
        <v>#REF!</v>
      </c>
      <c r="EP7" t="e">
        <f>AND(#REF!,"AAAAAF/Z35E=")</f>
        <v>#REF!</v>
      </c>
      <c r="EQ7" t="e">
        <f>AND(#REF!,"AAAAAF/Z35I=")</f>
        <v>#REF!</v>
      </c>
      <c r="ER7" t="e">
        <f>AND(#REF!,"AAAAAF/Z35M=")</f>
        <v>#REF!</v>
      </c>
      <c r="ES7" t="e">
        <f>AND(#REF!,"AAAAAF/Z35Q=")</f>
        <v>#REF!</v>
      </c>
      <c r="ET7" t="e">
        <f>AND(#REF!,"AAAAAF/Z35U=")</f>
        <v>#REF!</v>
      </c>
      <c r="EU7" t="e">
        <f>AND(#REF!,"AAAAAF/Z35Y=")</f>
        <v>#REF!</v>
      </c>
      <c r="EV7" t="e">
        <f>AND(#REF!,"AAAAAF/Z35c=")</f>
        <v>#REF!</v>
      </c>
      <c r="EW7" t="e">
        <f>AND(#REF!,"AAAAAF/Z35g=")</f>
        <v>#REF!</v>
      </c>
      <c r="EX7" t="e">
        <f>IF(#REF!,"AAAAAF/Z35k=",0)</f>
        <v>#REF!</v>
      </c>
      <c r="EY7" t="e">
        <f>AND(#REF!,"AAAAAF/Z35o=")</f>
        <v>#REF!</v>
      </c>
      <c r="EZ7" t="e">
        <f>AND(#REF!,"AAAAAF/Z35s=")</f>
        <v>#REF!</v>
      </c>
      <c r="FA7" t="e">
        <f>AND(#REF!,"AAAAAF/Z35w=")</f>
        <v>#REF!</v>
      </c>
      <c r="FB7" t="e">
        <f>AND(#REF!,"AAAAAF/Z350=")</f>
        <v>#REF!</v>
      </c>
      <c r="FC7" t="e">
        <f>AND(#REF!,"AAAAAF/Z354=")</f>
        <v>#REF!</v>
      </c>
      <c r="FD7" t="e">
        <f>AND(#REF!,"AAAAAF/Z358=")</f>
        <v>#REF!</v>
      </c>
      <c r="FE7" t="e">
        <f>AND(#REF!,"AAAAAF/Z36A=")</f>
        <v>#REF!</v>
      </c>
      <c r="FF7" t="e">
        <f>AND(#REF!,"AAAAAF/Z36E=")</f>
        <v>#REF!</v>
      </c>
      <c r="FG7" t="e">
        <f>IF(#REF!,"AAAAAF/Z36I=",0)</f>
        <v>#REF!</v>
      </c>
      <c r="FH7" t="e">
        <f>AND(#REF!,"AAAAAF/Z36M=")</f>
        <v>#REF!</v>
      </c>
      <c r="FI7" t="e">
        <f>AND(#REF!,"AAAAAF/Z36Q=")</f>
        <v>#REF!</v>
      </c>
      <c r="FJ7" t="e">
        <f>AND(#REF!,"AAAAAF/Z36U=")</f>
        <v>#REF!</v>
      </c>
      <c r="FK7" t="e">
        <f>AND(#REF!,"AAAAAF/Z36Y=")</f>
        <v>#REF!</v>
      </c>
      <c r="FL7" t="e">
        <f>AND(#REF!,"AAAAAF/Z36c=")</f>
        <v>#REF!</v>
      </c>
      <c r="FM7" t="e">
        <f>AND(#REF!,"AAAAAF/Z36g=")</f>
        <v>#REF!</v>
      </c>
      <c r="FN7" t="e">
        <f>AND(#REF!,"AAAAAF/Z36k=")</f>
        <v>#REF!</v>
      </c>
      <c r="FO7" t="e">
        <f>AND(#REF!,"AAAAAF/Z36o=")</f>
        <v>#REF!</v>
      </c>
      <c r="FP7" t="e">
        <f>IF(#REF!,"AAAAAF/Z36s=",0)</f>
        <v>#REF!</v>
      </c>
      <c r="FQ7" t="e">
        <f>AND(#REF!,"AAAAAF/Z36w=")</f>
        <v>#REF!</v>
      </c>
      <c r="FR7" t="e">
        <f>AND(#REF!,"AAAAAF/Z360=")</f>
        <v>#REF!</v>
      </c>
      <c r="FS7" t="e">
        <f>AND(#REF!,"AAAAAF/Z364=")</f>
        <v>#REF!</v>
      </c>
      <c r="FT7" t="e">
        <f>AND(#REF!,"AAAAAF/Z368=")</f>
        <v>#REF!</v>
      </c>
      <c r="FU7" t="e">
        <f>AND(#REF!,"AAAAAF/Z37A=")</f>
        <v>#REF!</v>
      </c>
      <c r="FV7" t="e">
        <f>AND(#REF!,"AAAAAF/Z37E=")</f>
        <v>#REF!</v>
      </c>
      <c r="FW7" t="e">
        <f>AND(#REF!,"AAAAAF/Z37I=")</f>
        <v>#REF!</v>
      </c>
      <c r="FX7" t="e">
        <f>AND(#REF!,"AAAAAF/Z37M=")</f>
        <v>#REF!</v>
      </c>
      <c r="FY7" t="e">
        <f>IF(#REF!,"AAAAAF/Z37Q=",0)</f>
        <v>#REF!</v>
      </c>
      <c r="FZ7" t="e">
        <f>AND(#REF!,"AAAAAF/Z37U=")</f>
        <v>#REF!</v>
      </c>
      <c r="GA7" t="e">
        <f>AND(#REF!,"AAAAAF/Z37Y=")</f>
        <v>#REF!</v>
      </c>
      <c r="GB7" t="e">
        <f>AND(#REF!,"AAAAAF/Z37c=")</f>
        <v>#REF!</v>
      </c>
      <c r="GC7" t="e">
        <f>AND(#REF!,"AAAAAF/Z37g=")</f>
        <v>#REF!</v>
      </c>
      <c r="GD7" t="e">
        <f>AND(#REF!,"AAAAAF/Z37k=")</f>
        <v>#REF!</v>
      </c>
      <c r="GE7" t="e">
        <f>AND(#REF!,"AAAAAF/Z37o=")</f>
        <v>#REF!</v>
      </c>
      <c r="GF7" t="e">
        <f>AND(#REF!,"AAAAAF/Z37s=")</f>
        <v>#REF!</v>
      </c>
      <c r="GG7" t="e">
        <f>AND(#REF!,"AAAAAF/Z37w=")</f>
        <v>#REF!</v>
      </c>
      <c r="GH7" t="e">
        <f>IF(#REF!,"AAAAAF/Z370=",0)</f>
        <v>#REF!</v>
      </c>
      <c r="GI7" t="e">
        <f>AND(#REF!,"AAAAAF/Z374=")</f>
        <v>#REF!</v>
      </c>
      <c r="GJ7" t="e">
        <f>AND(#REF!,"AAAAAF/Z378=")</f>
        <v>#REF!</v>
      </c>
      <c r="GK7" t="e">
        <f>AND(#REF!,"AAAAAF/Z38A=")</f>
        <v>#REF!</v>
      </c>
      <c r="GL7" t="e">
        <f>AND(#REF!,"AAAAAF/Z38E=")</f>
        <v>#REF!</v>
      </c>
      <c r="GM7" t="e">
        <f>AND(#REF!,"AAAAAF/Z38I=")</f>
        <v>#REF!</v>
      </c>
      <c r="GN7" t="e">
        <f>AND(#REF!,"AAAAAF/Z38M=")</f>
        <v>#REF!</v>
      </c>
      <c r="GO7" t="e">
        <f>AND(#REF!,"AAAAAF/Z38Q=")</f>
        <v>#REF!</v>
      </c>
      <c r="GP7" t="e">
        <f>AND(#REF!,"AAAAAF/Z38U=")</f>
        <v>#REF!</v>
      </c>
      <c r="GQ7" t="e">
        <f>IF(#REF!,"AAAAAF/Z38Y=",0)</f>
        <v>#REF!</v>
      </c>
      <c r="GR7" t="e">
        <f>IF(#REF!,"AAAAAF/Z38c=",0)</f>
        <v>#REF!</v>
      </c>
      <c r="GS7" t="e">
        <f>IF(#REF!,"AAAAAF/Z38g=",0)</f>
        <v>#REF!</v>
      </c>
      <c r="GT7" t="e">
        <f>IF(#REF!,"AAAAAF/Z38k=",0)</f>
        <v>#REF!</v>
      </c>
      <c r="GU7" t="e">
        <f>IF(#REF!,"AAAAAF/Z38o=",0)</f>
        <v>#REF!</v>
      </c>
      <c r="GV7" t="e">
        <f>IF(#REF!,"AAAAAF/Z38s=",0)</f>
        <v>#REF!</v>
      </c>
      <c r="GW7" t="e">
        <f>IF(#REF!,"AAAAAF/Z38w=",0)</f>
        <v>#REF!</v>
      </c>
      <c r="GX7" t="e">
        <f>IF(#REF!,"AAAAAF/Z380=",0)</f>
        <v>#REF!</v>
      </c>
      <c r="GY7" t="e">
        <f>IF(#REF!,"AAAAAF/Z384=",0)</f>
        <v>#REF!</v>
      </c>
      <c r="GZ7" t="e">
        <f>IF(#REF!,"AAAAAF/Z388=",0)</f>
        <v>#REF!</v>
      </c>
      <c r="HA7" t="e">
        <f>IF(#REF!,"AAAAAF/Z39A=",0)</f>
        <v>#REF!</v>
      </c>
      <c r="HB7" t="e">
        <f>IF(#REF!,"AAAAAF/Z39E=",0)</f>
        <v>#REF!</v>
      </c>
      <c r="HC7" t="e">
        <f>IF(#REF!,"AAAAAF/Z39I=",0)</f>
        <v>#REF!</v>
      </c>
      <c r="HD7" t="e">
        <f>IF(#REF!,"AAAAAF/Z39M=",0)</f>
        <v>#REF!</v>
      </c>
      <c r="HE7" t="e">
        <f>IF(#REF!,"AAAAAF/Z39Q=",0)</f>
        <v>#REF!</v>
      </c>
      <c r="HF7" t="e">
        <f>IF(#REF!,"AAAAAF/Z39U=",0)</f>
        <v>#REF!</v>
      </c>
      <c r="HG7" t="e">
        <f>IF(#REF!,"AAAAAF/Z39Y=",0)</f>
        <v>#REF!</v>
      </c>
      <c r="HH7" t="e">
        <f>IF(#REF!,"AAAAAF/Z39c=",0)</f>
        <v>#REF!</v>
      </c>
      <c r="HI7" t="e">
        <f>IF(#REF!,"AAAAAF/Z39g=",0)</f>
        <v>#REF!</v>
      </c>
      <c r="HJ7" t="e">
        <f>IF(#REF!,"AAAAAF/Z39k=",0)</f>
        <v>#REF!</v>
      </c>
      <c r="HK7" t="e">
        <f>IF(#REF!,"AAAAAF/Z39o=",0)</f>
        <v>#REF!</v>
      </c>
      <c r="HL7" t="e">
        <f>AND(#REF!,"AAAAAF/Z39s=")</f>
        <v>#REF!</v>
      </c>
      <c r="HM7" t="e">
        <f>AND(#REF!,"AAAAAF/Z39w=")</f>
        <v>#REF!</v>
      </c>
      <c r="HN7" t="e">
        <f>AND(#REF!,"AAAAAF/Z390=")</f>
        <v>#REF!</v>
      </c>
      <c r="HO7" t="e">
        <f>AND(#REF!,"AAAAAF/Z394=")</f>
        <v>#REF!</v>
      </c>
      <c r="HP7" t="e">
        <f>AND(#REF!,"AAAAAF/Z398=")</f>
        <v>#REF!</v>
      </c>
      <c r="HQ7" t="e">
        <f>AND(#REF!,"AAAAAF/Z3+A=")</f>
        <v>#REF!</v>
      </c>
      <c r="HR7" t="e">
        <f>AND(#REF!,"AAAAAF/Z3+E=")</f>
        <v>#REF!</v>
      </c>
      <c r="HS7" t="e">
        <f>AND(#REF!,"AAAAAF/Z3+I=")</f>
        <v>#REF!</v>
      </c>
      <c r="HT7" t="e">
        <f>AND(#REF!,"AAAAAF/Z3+M=")</f>
        <v>#REF!</v>
      </c>
      <c r="HU7" t="e">
        <f>AND(#REF!,"AAAAAF/Z3+Q=")</f>
        <v>#REF!</v>
      </c>
      <c r="HV7" t="e">
        <f>IF(#REF!,"AAAAAF/Z3+U=",0)</f>
        <v>#REF!</v>
      </c>
      <c r="HW7" t="e">
        <f>AND(#REF!,"AAAAAF/Z3+Y=")</f>
        <v>#REF!</v>
      </c>
      <c r="HX7" t="e">
        <f>AND(#REF!,"AAAAAF/Z3+c=")</f>
        <v>#REF!</v>
      </c>
      <c r="HY7" t="e">
        <f>AND(#REF!,"AAAAAF/Z3+g=")</f>
        <v>#REF!</v>
      </c>
      <c r="HZ7" t="e">
        <f>AND(#REF!,"AAAAAF/Z3+k=")</f>
        <v>#REF!</v>
      </c>
      <c r="IA7" t="e">
        <f>AND(#REF!,"AAAAAF/Z3+o=")</f>
        <v>#REF!</v>
      </c>
      <c r="IB7" t="e">
        <f>AND(#REF!,"AAAAAF/Z3+s=")</f>
        <v>#REF!</v>
      </c>
      <c r="IC7" t="e">
        <f>AND(#REF!,"AAAAAF/Z3+w=")</f>
        <v>#REF!</v>
      </c>
      <c r="ID7" t="e">
        <f>AND(#REF!,"AAAAAF/Z3+0=")</f>
        <v>#REF!</v>
      </c>
      <c r="IE7" t="e">
        <f>AND(#REF!,"AAAAAF/Z3+4=")</f>
        <v>#REF!</v>
      </c>
      <c r="IF7" t="e">
        <f>AND(#REF!,"AAAAAF/Z3+8=")</f>
        <v>#REF!</v>
      </c>
      <c r="IG7" t="e">
        <f>IF(#REF!,"AAAAAF/Z3/A=",0)</f>
        <v>#REF!</v>
      </c>
      <c r="IH7" t="e">
        <f>AND(#REF!,"AAAAAF/Z3/E=")</f>
        <v>#REF!</v>
      </c>
      <c r="II7" t="e">
        <f>AND(#REF!,"AAAAAF/Z3/I=")</f>
        <v>#REF!</v>
      </c>
      <c r="IJ7" t="e">
        <f>AND(#REF!,"AAAAAF/Z3/M=")</f>
        <v>#REF!</v>
      </c>
      <c r="IK7" t="e">
        <f>AND(#REF!,"AAAAAF/Z3/Q=")</f>
        <v>#REF!</v>
      </c>
      <c r="IL7" t="e">
        <f>AND(#REF!,"AAAAAF/Z3/U=")</f>
        <v>#REF!</v>
      </c>
      <c r="IM7" t="e">
        <f>AND(#REF!,"AAAAAF/Z3/Y=")</f>
        <v>#REF!</v>
      </c>
      <c r="IN7" t="e">
        <f>AND(#REF!,"AAAAAF/Z3/c=")</f>
        <v>#REF!</v>
      </c>
      <c r="IO7" t="e">
        <f>AND(#REF!,"AAAAAF/Z3/g=")</f>
        <v>#REF!</v>
      </c>
      <c r="IP7" t="e">
        <f>AND(#REF!,"AAAAAF/Z3/k=")</f>
        <v>#REF!</v>
      </c>
      <c r="IQ7" t="e">
        <f>AND(#REF!,"AAAAAF/Z3/o=")</f>
        <v>#REF!</v>
      </c>
      <c r="IR7" t="e">
        <f>IF(#REF!,"AAAAAF/Z3/s=",0)</f>
        <v>#REF!</v>
      </c>
      <c r="IS7" t="e">
        <f>AND(#REF!,"AAAAAF/Z3/w=")</f>
        <v>#REF!</v>
      </c>
      <c r="IT7" t="e">
        <f>AND(#REF!,"AAAAAF/Z3/0=")</f>
        <v>#REF!</v>
      </c>
      <c r="IU7" t="e">
        <f>AND(#REF!,"AAAAAF/Z3/4=")</f>
        <v>#REF!</v>
      </c>
      <c r="IV7" t="e">
        <f>AND(#REF!,"AAAAAF/Z3/8=")</f>
        <v>#REF!</v>
      </c>
    </row>
    <row r="8" spans="1:256">
      <c r="A8" t="e">
        <f>AND(#REF!,"AAAAAH9v/wA=")</f>
        <v>#REF!</v>
      </c>
      <c r="B8" t="e">
        <f>AND(#REF!,"AAAAAH9v/wE=")</f>
        <v>#REF!</v>
      </c>
      <c r="C8" t="e">
        <f>AND(#REF!,"AAAAAH9v/wI=")</f>
        <v>#REF!</v>
      </c>
      <c r="D8" t="e">
        <f>AND(#REF!,"AAAAAH9v/wM=")</f>
        <v>#REF!</v>
      </c>
      <c r="E8" t="e">
        <f>AND(#REF!,"AAAAAH9v/wQ=")</f>
        <v>#REF!</v>
      </c>
      <c r="F8" t="e">
        <f>AND(#REF!,"AAAAAH9v/wU=")</f>
        <v>#REF!</v>
      </c>
      <c r="G8" t="e">
        <f>IF(#REF!,"AAAAAH9v/wY=",0)</f>
        <v>#REF!</v>
      </c>
      <c r="H8" t="e">
        <f>AND(#REF!,"AAAAAH9v/wc=")</f>
        <v>#REF!</v>
      </c>
      <c r="I8" t="e">
        <f>AND(#REF!,"AAAAAH9v/wg=")</f>
        <v>#REF!</v>
      </c>
      <c r="J8" t="e">
        <f>AND(#REF!,"AAAAAH9v/wk=")</f>
        <v>#REF!</v>
      </c>
      <c r="K8" t="e">
        <f>AND(#REF!,"AAAAAH9v/wo=")</f>
        <v>#REF!</v>
      </c>
      <c r="L8" t="e">
        <f>AND(#REF!,"AAAAAH9v/ws=")</f>
        <v>#REF!</v>
      </c>
      <c r="M8" t="e">
        <f>AND(#REF!,"AAAAAH9v/ww=")</f>
        <v>#REF!</v>
      </c>
      <c r="N8" t="e">
        <f>AND(#REF!,"AAAAAH9v/w0=")</f>
        <v>#REF!</v>
      </c>
      <c r="O8" t="e">
        <f>AND(#REF!,"AAAAAH9v/w4=")</f>
        <v>#REF!</v>
      </c>
      <c r="P8" t="e">
        <f>AND(#REF!,"AAAAAH9v/w8=")</f>
        <v>#REF!</v>
      </c>
      <c r="Q8" t="e">
        <f>AND(#REF!,"AAAAAH9v/xA=")</f>
        <v>#REF!</v>
      </c>
      <c r="R8" t="e">
        <f>IF(#REF!,"AAAAAH9v/xE=",0)</f>
        <v>#REF!</v>
      </c>
      <c r="S8" t="e">
        <f>AND(#REF!,"AAAAAH9v/xI=")</f>
        <v>#REF!</v>
      </c>
      <c r="T8" t="e">
        <f>AND(#REF!,"AAAAAH9v/xM=")</f>
        <v>#REF!</v>
      </c>
      <c r="U8" t="e">
        <f>AND(#REF!,"AAAAAH9v/xQ=")</f>
        <v>#REF!</v>
      </c>
      <c r="V8" t="e">
        <f>AND(#REF!,"AAAAAH9v/xU=")</f>
        <v>#REF!</v>
      </c>
      <c r="W8" t="e">
        <f>AND(#REF!,"AAAAAH9v/xY=")</f>
        <v>#REF!</v>
      </c>
      <c r="X8" t="e">
        <f>AND(#REF!,"AAAAAH9v/xc=")</f>
        <v>#REF!</v>
      </c>
      <c r="Y8" t="e">
        <f>AND(#REF!,"AAAAAH9v/xg=")</f>
        <v>#REF!</v>
      </c>
      <c r="Z8" t="e">
        <f>AND(#REF!,"AAAAAH9v/xk=")</f>
        <v>#REF!</v>
      </c>
      <c r="AA8" t="e">
        <f>AND(#REF!,"AAAAAH9v/xo=")</f>
        <v>#REF!</v>
      </c>
      <c r="AB8" t="e">
        <f>AND(#REF!,"AAAAAH9v/xs=")</f>
        <v>#REF!</v>
      </c>
      <c r="AC8" t="e">
        <f>IF(#REF!,"AAAAAH9v/xw=",0)</f>
        <v>#REF!</v>
      </c>
      <c r="AD8" t="e">
        <f>AND(#REF!,"AAAAAH9v/x0=")</f>
        <v>#REF!</v>
      </c>
      <c r="AE8" t="e">
        <f>AND(#REF!,"AAAAAH9v/x4=")</f>
        <v>#REF!</v>
      </c>
      <c r="AF8" t="e">
        <f>AND(#REF!,"AAAAAH9v/x8=")</f>
        <v>#REF!</v>
      </c>
      <c r="AG8" t="e">
        <f>AND(#REF!,"AAAAAH9v/yA=")</f>
        <v>#REF!</v>
      </c>
      <c r="AH8" t="e">
        <f>AND(#REF!,"AAAAAH9v/yE=")</f>
        <v>#REF!</v>
      </c>
      <c r="AI8" t="e">
        <f>AND(#REF!,"AAAAAH9v/yI=")</f>
        <v>#REF!</v>
      </c>
      <c r="AJ8" t="e">
        <f>AND(#REF!,"AAAAAH9v/yM=")</f>
        <v>#REF!</v>
      </c>
      <c r="AK8" t="e">
        <f>AND(#REF!,"AAAAAH9v/yQ=")</f>
        <v>#REF!</v>
      </c>
      <c r="AL8" t="e">
        <f>AND(#REF!,"AAAAAH9v/yU=")</f>
        <v>#REF!</v>
      </c>
      <c r="AM8" t="e">
        <f>AND(#REF!,"AAAAAH9v/yY=")</f>
        <v>#REF!</v>
      </c>
      <c r="AN8" t="e">
        <f>IF(#REF!,"AAAAAH9v/yc=",0)</f>
        <v>#REF!</v>
      </c>
      <c r="AO8" t="e">
        <f>AND(#REF!,"AAAAAH9v/yg=")</f>
        <v>#REF!</v>
      </c>
      <c r="AP8" t="e">
        <f>AND(#REF!,"AAAAAH9v/yk=")</f>
        <v>#REF!</v>
      </c>
      <c r="AQ8" t="e">
        <f>AND(#REF!,"AAAAAH9v/yo=")</f>
        <v>#REF!</v>
      </c>
      <c r="AR8" t="e">
        <f>AND(#REF!,"AAAAAH9v/ys=")</f>
        <v>#REF!</v>
      </c>
      <c r="AS8" t="e">
        <f>AND(#REF!,"AAAAAH9v/yw=")</f>
        <v>#REF!</v>
      </c>
      <c r="AT8" t="e">
        <f>AND(#REF!,"AAAAAH9v/y0=")</f>
        <v>#REF!</v>
      </c>
      <c r="AU8" t="e">
        <f>AND(#REF!,"AAAAAH9v/y4=")</f>
        <v>#REF!</v>
      </c>
      <c r="AV8" t="e">
        <f>AND(#REF!,"AAAAAH9v/y8=")</f>
        <v>#REF!</v>
      </c>
      <c r="AW8" t="e">
        <f>AND(#REF!,"AAAAAH9v/zA=")</f>
        <v>#REF!</v>
      </c>
      <c r="AX8" t="e">
        <f>AND(#REF!,"AAAAAH9v/zE=")</f>
        <v>#REF!</v>
      </c>
      <c r="AY8" t="e">
        <f>IF(#REF!,"AAAAAH9v/zI=",0)</f>
        <v>#REF!</v>
      </c>
      <c r="AZ8" t="e">
        <f>AND(#REF!,"AAAAAH9v/zM=")</f>
        <v>#REF!</v>
      </c>
      <c r="BA8" t="e">
        <f>AND(#REF!,"AAAAAH9v/zQ=")</f>
        <v>#REF!</v>
      </c>
      <c r="BB8" t="e">
        <f>AND(#REF!,"AAAAAH9v/zU=")</f>
        <v>#REF!</v>
      </c>
      <c r="BC8" t="e">
        <f>AND(#REF!,"AAAAAH9v/zY=")</f>
        <v>#REF!</v>
      </c>
      <c r="BD8" t="e">
        <f>AND(#REF!,"AAAAAH9v/zc=")</f>
        <v>#REF!</v>
      </c>
      <c r="BE8" t="e">
        <f>AND(#REF!,"AAAAAH9v/zg=")</f>
        <v>#REF!</v>
      </c>
      <c r="BF8" t="e">
        <f>AND(#REF!,"AAAAAH9v/zk=")</f>
        <v>#REF!</v>
      </c>
      <c r="BG8" t="e">
        <f>AND(#REF!,"AAAAAH9v/zo=")</f>
        <v>#REF!</v>
      </c>
      <c r="BH8" t="e">
        <f>AND(#REF!,"AAAAAH9v/zs=")</f>
        <v>#REF!</v>
      </c>
      <c r="BI8" t="e">
        <f>AND(#REF!,"AAAAAH9v/zw=")</f>
        <v>#REF!</v>
      </c>
      <c r="BJ8" t="e">
        <f>IF(#REF!,"AAAAAH9v/z0=",0)</f>
        <v>#REF!</v>
      </c>
      <c r="BK8" t="e">
        <f>AND(#REF!,"AAAAAH9v/z4=")</f>
        <v>#REF!</v>
      </c>
      <c r="BL8" t="e">
        <f>AND(#REF!,"AAAAAH9v/z8=")</f>
        <v>#REF!</v>
      </c>
      <c r="BM8" t="e">
        <f>AND(#REF!,"AAAAAH9v/0A=")</f>
        <v>#REF!</v>
      </c>
      <c r="BN8" t="e">
        <f>AND(#REF!,"AAAAAH9v/0E=")</f>
        <v>#REF!</v>
      </c>
      <c r="BO8" t="e">
        <f>AND(#REF!,"AAAAAH9v/0I=")</f>
        <v>#REF!</v>
      </c>
      <c r="BP8" t="e">
        <f>AND(#REF!,"AAAAAH9v/0M=")</f>
        <v>#REF!</v>
      </c>
      <c r="BQ8" t="e">
        <f>AND(#REF!,"AAAAAH9v/0Q=")</f>
        <v>#REF!</v>
      </c>
      <c r="BR8" t="e">
        <f>AND(#REF!,"AAAAAH9v/0U=")</f>
        <v>#REF!</v>
      </c>
      <c r="BS8" t="e">
        <f>AND(#REF!,"AAAAAH9v/0Y=")</f>
        <v>#REF!</v>
      </c>
      <c r="BT8" t="e">
        <f>AND(#REF!,"AAAAAH9v/0c=")</f>
        <v>#REF!</v>
      </c>
      <c r="BU8" t="e">
        <f>IF(#REF!,"AAAAAH9v/0g=",0)</f>
        <v>#REF!</v>
      </c>
      <c r="BV8" t="e">
        <f>AND(#REF!,"AAAAAH9v/0k=")</f>
        <v>#REF!</v>
      </c>
      <c r="BW8" t="e">
        <f>AND(#REF!,"AAAAAH9v/0o=")</f>
        <v>#REF!</v>
      </c>
      <c r="BX8" t="e">
        <f>AND(#REF!,"AAAAAH9v/0s=")</f>
        <v>#REF!</v>
      </c>
      <c r="BY8" t="e">
        <f>AND(#REF!,"AAAAAH9v/0w=")</f>
        <v>#REF!</v>
      </c>
      <c r="BZ8" t="e">
        <f>AND(#REF!,"AAAAAH9v/00=")</f>
        <v>#REF!</v>
      </c>
      <c r="CA8" t="e">
        <f>AND(#REF!,"AAAAAH9v/04=")</f>
        <v>#REF!</v>
      </c>
      <c r="CB8" t="e">
        <f>AND(#REF!,"AAAAAH9v/08=")</f>
        <v>#REF!</v>
      </c>
      <c r="CC8" t="e">
        <f>AND(#REF!,"AAAAAH9v/1A=")</f>
        <v>#REF!</v>
      </c>
      <c r="CD8" t="e">
        <f>AND(#REF!,"AAAAAH9v/1E=")</f>
        <v>#REF!</v>
      </c>
      <c r="CE8" t="e">
        <f>AND(#REF!,"AAAAAH9v/1I=")</f>
        <v>#REF!</v>
      </c>
      <c r="CF8" t="e">
        <f>IF(#REF!,"AAAAAH9v/1M=",0)</f>
        <v>#REF!</v>
      </c>
      <c r="CG8" t="e">
        <f>AND(#REF!,"AAAAAH9v/1Q=")</f>
        <v>#REF!</v>
      </c>
      <c r="CH8" t="e">
        <f>AND(#REF!,"AAAAAH9v/1U=")</f>
        <v>#REF!</v>
      </c>
      <c r="CI8" t="e">
        <f>AND(#REF!,"AAAAAH9v/1Y=")</f>
        <v>#REF!</v>
      </c>
      <c r="CJ8" t="e">
        <f>AND(#REF!,"AAAAAH9v/1c=")</f>
        <v>#REF!</v>
      </c>
      <c r="CK8" t="e">
        <f>AND(#REF!,"AAAAAH9v/1g=")</f>
        <v>#REF!</v>
      </c>
      <c r="CL8" t="e">
        <f>AND(#REF!,"AAAAAH9v/1k=")</f>
        <v>#REF!</v>
      </c>
      <c r="CM8" t="e">
        <f>AND(#REF!,"AAAAAH9v/1o=")</f>
        <v>#REF!</v>
      </c>
      <c r="CN8" t="e">
        <f>AND(#REF!,"AAAAAH9v/1s=")</f>
        <v>#REF!</v>
      </c>
      <c r="CO8" t="e">
        <f>AND(#REF!,"AAAAAH9v/1w=")</f>
        <v>#REF!</v>
      </c>
      <c r="CP8" t="e">
        <f>AND(#REF!,"AAAAAH9v/10=")</f>
        <v>#REF!</v>
      </c>
      <c r="CQ8" t="e">
        <f>IF(#REF!,"AAAAAH9v/14=",0)</f>
        <v>#REF!</v>
      </c>
      <c r="CR8" t="e">
        <f>AND(#REF!,"AAAAAH9v/18=")</f>
        <v>#REF!</v>
      </c>
      <c r="CS8" t="e">
        <f>IF(#REF!,"AAAAAH9v/2A=",0)</f>
        <v>#REF!</v>
      </c>
      <c r="CT8" t="e">
        <f>AND(#REF!,"AAAAAH9v/2E=")</f>
        <v>#REF!</v>
      </c>
      <c r="CU8" t="e">
        <f>IF(#REF!,"AAAAAH9v/2I=",0)</f>
        <v>#REF!</v>
      </c>
      <c r="CV8" t="e">
        <f>IF(#REF!,"AAAAAH9v/2M=",0)</f>
        <v>#REF!</v>
      </c>
      <c r="CW8" t="e">
        <f>IF(#REF!,"AAAAAH9v/2Q=",0)</f>
        <v>#REF!</v>
      </c>
      <c r="CX8" t="e">
        <f>IF(#REF!,"AAAAAH9v/2U=",0)</f>
        <v>#REF!</v>
      </c>
      <c r="CY8" t="e">
        <f>IF(#REF!,"AAAAAH9v/2Y=",0)</f>
        <v>#REF!</v>
      </c>
      <c r="CZ8" t="e">
        <f>IF(#REF!,"AAAAAH9v/2c=",0)</f>
        <v>#REF!</v>
      </c>
      <c r="DA8" t="e">
        <f>IF(#REF!,"AAAAAH9v/2g=",0)</f>
        <v>#REF!</v>
      </c>
      <c r="DB8" t="e">
        <f>IF(#REF!,"AAAAAH9v/2k=",0)</f>
        <v>#REF!</v>
      </c>
      <c r="DC8" t="e">
        <f>IF(#REF!,"AAAAAH9v/2o=",0)</f>
        <v>#REF!</v>
      </c>
      <c r="DD8" t="e">
        <f>IF(#REF!,"AAAAAH9v/2s=",0)</f>
        <v>#REF!</v>
      </c>
      <c r="DE8" t="e">
        <f>IF(#REF!,"AAAAAH9v/2w=",0)</f>
        <v>#REF!</v>
      </c>
      <c r="DF8" t="e">
        <f>AND(#REF!,"AAAAAH9v/20=")</f>
        <v>#REF!</v>
      </c>
      <c r="DG8" t="e">
        <f>AND(#REF!,"AAAAAH9v/24=")</f>
        <v>#REF!</v>
      </c>
      <c r="DH8" t="e">
        <f>AND(#REF!,"AAAAAH9v/28=")</f>
        <v>#REF!</v>
      </c>
      <c r="DI8" t="e">
        <f>AND(#REF!,"AAAAAH9v/3A=")</f>
        <v>#REF!</v>
      </c>
      <c r="DJ8" t="e">
        <f>AND(#REF!,"AAAAAH9v/3E=")</f>
        <v>#REF!</v>
      </c>
      <c r="DK8" t="e">
        <f>AND(#REF!,"AAAAAH9v/3I=")</f>
        <v>#REF!</v>
      </c>
      <c r="DL8" t="e">
        <f>IF(#REF!,"AAAAAH9v/3M=",0)</f>
        <v>#REF!</v>
      </c>
      <c r="DM8" t="e">
        <f>AND(#REF!,"AAAAAH9v/3Q=")</f>
        <v>#REF!</v>
      </c>
      <c r="DN8" t="e">
        <f>AND(#REF!,"AAAAAH9v/3U=")</f>
        <v>#REF!</v>
      </c>
      <c r="DO8" t="e">
        <f>AND(#REF!,"AAAAAH9v/3Y=")</f>
        <v>#REF!</v>
      </c>
      <c r="DP8" t="e">
        <f>AND(#REF!,"AAAAAH9v/3c=")</f>
        <v>#REF!</v>
      </c>
      <c r="DQ8" t="e">
        <f>AND(#REF!,"AAAAAH9v/3g=")</f>
        <v>#REF!</v>
      </c>
      <c r="DR8" t="e">
        <f>AND(#REF!,"AAAAAH9v/3k=")</f>
        <v>#REF!</v>
      </c>
      <c r="DS8" t="e">
        <f>IF(#REF!,"AAAAAH9v/3o=",0)</f>
        <v>#REF!</v>
      </c>
      <c r="DT8" t="e">
        <f>AND(#REF!,"AAAAAH9v/3s=")</f>
        <v>#REF!</v>
      </c>
      <c r="DU8" t="e">
        <f>AND(#REF!,"AAAAAH9v/3w=")</f>
        <v>#REF!</v>
      </c>
      <c r="DV8" t="e">
        <f>AND(#REF!,"AAAAAH9v/30=")</f>
        <v>#REF!</v>
      </c>
      <c r="DW8" t="e">
        <f>AND(#REF!,"AAAAAH9v/34=")</f>
        <v>#REF!</v>
      </c>
      <c r="DX8" t="e">
        <f>AND(#REF!,"AAAAAH9v/38=")</f>
        <v>#REF!</v>
      </c>
      <c r="DY8" t="e">
        <f>AND(#REF!,"AAAAAH9v/4A=")</f>
        <v>#REF!</v>
      </c>
      <c r="DZ8" t="e">
        <f>IF(#REF!,"AAAAAH9v/4E=",0)</f>
        <v>#REF!</v>
      </c>
      <c r="EA8" t="e">
        <f>AND(#REF!,"AAAAAH9v/4I=")</f>
        <v>#REF!</v>
      </c>
      <c r="EB8" t="e">
        <f>AND(#REF!,"AAAAAH9v/4M=")</f>
        <v>#REF!</v>
      </c>
      <c r="EC8" t="e">
        <f>AND(#REF!,"AAAAAH9v/4Q=")</f>
        <v>#REF!</v>
      </c>
      <c r="ED8" t="e">
        <f>AND(#REF!,"AAAAAH9v/4U=")</f>
        <v>#REF!</v>
      </c>
      <c r="EE8" t="e">
        <f>AND(#REF!,"AAAAAH9v/4Y=")</f>
        <v>#REF!</v>
      </c>
      <c r="EF8" t="e">
        <f>AND(#REF!,"AAAAAH9v/4c=")</f>
        <v>#REF!</v>
      </c>
      <c r="EG8" t="e">
        <f>IF(#REF!,"AAAAAH9v/4g=",0)</f>
        <v>#REF!</v>
      </c>
      <c r="EH8" t="e">
        <f>AND(#REF!,"AAAAAH9v/4k=")</f>
        <v>#REF!</v>
      </c>
      <c r="EI8" t="e">
        <f>AND(#REF!,"AAAAAH9v/4o=")</f>
        <v>#REF!</v>
      </c>
      <c r="EJ8" t="e">
        <f>AND(#REF!,"AAAAAH9v/4s=")</f>
        <v>#REF!</v>
      </c>
      <c r="EK8" t="e">
        <f>AND(#REF!,"AAAAAH9v/4w=")</f>
        <v>#REF!</v>
      </c>
      <c r="EL8" t="e">
        <f>AND(#REF!,"AAAAAH9v/40=")</f>
        <v>#REF!</v>
      </c>
      <c r="EM8" t="e">
        <f>AND(#REF!,"AAAAAH9v/44=")</f>
        <v>#REF!</v>
      </c>
      <c r="EN8" t="e">
        <f>IF(#REF!,"AAAAAH9v/48=",0)</f>
        <v>#REF!</v>
      </c>
      <c r="EO8" t="e">
        <f>AND(#REF!,"AAAAAH9v/5A=")</f>
        <v>#REF!</v>
      </c>
      <c r="EP8" t="e">
        <f>AND(#REF!,"AAAAAH9v/5E=")</f>
        <v>#REF!</v>
      </c>
      <c r="EQ8" t="e">
        <f>AND(#REF!,"AAAAAH9v/5I=")</f>
        <v>#REF!</v>
      </c>
      <c r="ER8" t="e">
        <f>AND(#REF!,"AAAAAH9v/5M=")</f>
        <v>#REF!</v>
      </c>
      <c r="ES8" t="e">
        <f>AND(#REF!,"AAAAAH9v/5Q=")</f>
        <v>#REF!</v>
      </c>
      <c r="ET8" t="e">
        <f>AND(#REF!,"AAAAAH9v/5U=")</f>
        <v>#REF!</v>
      </c>
      <c r="EU8" t="e">
        <f>IF(#REF!,"AAAAAH9v/5Y=",0)</f>
        <v>#REF!</v>
      </c>
      <c r="EV8" t="e">
        <f>AND(#REF!,"AAAAAH9v/5c=")</f>
        <v>#REF!</v>
      </c>
      <c r="EW8" t="e">
        <f>AND(#REF!,"AAAAAH9v/5g=")</f>
        <v>#REF!</v>
      </c>
      <c r="EX8" t="e">
        <f>AND(#REF!,"AAAAAH9v/5k=")</f>
        <v>#REF!</v>
      </c>
      <c r="EY8" t="e">
        <f>AND(#REF!,"AAAAAH9v/5o=")</f>
        <v>#REF!</v>
      </c>
      <c r="EZ8" t="e">
        <f>AND(#REF!,"AAAAAH9v/5s=")</f>
        <v>#REF!</v>
      </c>
      <c r="FA8" t="e">
        <f>AND(#REF!,"AAAAAH9v/5w=")</f>
        <v>#REF!</v>
      </c>
      <c r="FB8" t="e">
        <f>IF(#REF!,"AAAAAH9v/50=",0)</f>
        <v>#REF!</v>
      </c>
      <c r="FC8" t="e">
        <f>AND(#REF!,"AAAAAH9v/54=")</f>
        <v>#REF!</v>
      </c>
      <c r="FD8" t="e">
        <f>AND(#REF!,"AAAAAH9v/58=")</f>
        <v>#REF!</v>
      </c>
      <c r="FE8" t="e">
        <f>AND(#REF!,"AAAAAH9v/6A=")</f>
        <v>#REF!</v>
      </c>
      <c r="FF8" t="e">
        <f>AND(#REF!,"AAAAAH9v/6E=")</f>
        <v>#REF!</v>
      </c>
      <c r="FG8" t="e">
        <f>AND(#REF!,"AAAAAH9v/6I=")</f>
        <v>#REF!</v>
      </c>
      <c r="FH8" t="e">
        <f>AND(#REF!,"AAAAAH9v/6M=")</f>
        <v>#REF!</v>
      </c>
      <c r="FI8" t="e">
        <f>IF(#REF!,"AAAAAH9v/6Q=",0)</f>
        <v>#REF!</v>
      </c>
      <c r="FJ8" t="e">
        <f>AND(#REF!,"AAAAAH9v/6U=")</f>
        <v>#REF!</v>
      </c>
      <c r="FK8" t="e">
        <f>AND(#REF!,"AAAAAH9v/6Y=")</f>
        <v>#REF!</v>
      </c>
      <c r="FL8" t="e">
        <f>AND(#REF!,"AAAAAH9v/6c=")</f>
        <v>#REF!</v>
      </c>
      <c r="FM8" t="e">
        <f>AND(#REF!,"AAAAAH9v/6g=")</f>
        <v>#REF!</v>
      </c>
      <c r="FN8" t="e">
        <f>AND(#REF!,"AAAAAH9v/6k=")</f>
        <v>#REF!</v>
      </c>
      <c r="FO8" t="e">
        <f>AND(#REF!,"AAAAAH9v/6o=")</f>
        <v>#REF!</v>
      </c>
      <c r="FP8" t="e">
        <f>IF(#REF!,"AAAAAH9v/6s=",0)</f>
        <v>#REF!</v>
      </c>
      <c r="FQ8" t="e">
        <f>AND(#REF!,"AAAAAH9v/6w=")</f>
        <v>#REF!</v>
      </c>
      <c r="FR8" t="e">
        <f>AND(#REF!,"AAAAAH9v/60=")</f>
        <v>#REF!</v>
      </c>
      <c r="FS8" t="e">
        <f>AND(#REF!,"AAAAAH9v/64=")</f>
        <v>#REF!</v>
      </c>
      <c r="FT8" t="e">
        <f>AND(#REF!,"AAAAAH9v/68=")</f>
        <v>#REF!</v>
      </c>
      <c r="FU8" t="e">
        <f>AND(#REF!,"AAAAAH9v/7A=")</f>
        <v>#REF!</v>
      </c>
      <c r="FV8" t="e">
        <f>AND(#REF!,"AAAAAH9v/7E=")</f>
        <v>#REF!</v>
      </c>
      <c r="FW8" t="e">
        <f>IF(#REF!,"AAAAAH9v/7I=",0)</f>
        <v>#REF!</v>
      </c>
      <c r="FX8" t="e">
        <f>AND(#REF!,"AAAAAH9v/7M=")</f>
        <v>#REF!</v>
      </c>
      <c r="FY8" t="e">
        <f>AND(#REF!,"AAAAAH9v/7Q=")</f>
        <v>#REF!</v>
      </c>
      <c r="FZ8" t="e">
        <f>AND(#REF!,"AAAAAH9v/7U=")</f>
        <v>#REF!</v>
      </c>
      <c r="GA8" t="e">
        <f>AND(#REF!,"AAAAAH9v/7Y=")</f>
        <v>#REF!</v>
      </c>
      <c r="GB8" t="e">
        <f>AND(#REF!,"AAAAAH9v/7c=")</f>
        <v>#REF!</v>
      </c>
      <c r="GC8" t="e">
        <f>AND(#REF!,"AAAAAH9v/7g=")</f>
        <v>#REF!</v>
      </c>
      <c r="GD8" t="e">
        <f>IF(#REF!,"AAAAAH9v/7k=",0)</f>
        <v>#REF!</v>
      </c>
      <c r="GE8" t="e">
        <f>AND(#REF!,"AAAAAH9v/7o=")</f>
        <v>#REF!</v>
      </c>
      <c r="GF8" t="e">
        <f>AND(#REF!,"AAAAAH9v/7s=")</f>
        <v>#REF!</v>
      </c>
      <c r="GG8" t="e">
        <f>AND(#REF!,"AAAAAH9v/7w=")</f>
        <v>#REF!</v>
      </c>
      <c r="GH8" t="e">
        <f>AND(#REF!,"AAAAAH9v/70=")</f>
        <v>#REF!</v>
      </c>
      <c r="GI8" t="e">
        <f>AND(#REF!,"AAAAAH9v/74=")</f>
        <v>#REF!</v>
      </c>
      <c r="GJ8" t="e">
        <f>AND(#REF!,"AAAAAH9v/78=")</f>
        <v>#REF!</v>
      </c>
      <c r="GK8" t="e">
        <f>IF(#REF!,"AAAAAH9v/8A=",0)</f>
        <v>#REF!</v>
      </c>
      <c r="GL8" t="e">
        <f>AND(#REF!,"AAAAAH9v/8E=")</f>
        <v>#REF!</v>
      </c>
      <c r="GM8" t="e">
        <f>AND(#REF!,"AAAAAH9v/8I=")</f>
        <v>#REF!</v>
      </c>
      <c r="GN8" t="e">
        <f>AND(#REF!,"AAAAAH9v/8M=")</f>
        <v>#REF!</v>
      </c>
      <c r="GO8" t="e">
        <f>AND(#REF!,"AAAAAH9v/8Q=")</f>
        <v>#REF!</v>
      </c>
      <c r="GP8" t="e">
        <f>AND(#REF!,"AAAAAH9v/8U=")</f>
        <v>#REF!</v>
      </c>
      <c r="GQ8" t="e">
        <f>AND(#REF!,"AAAAAH9v/8Y=")</f>
        <v>#REF!</v>
      </c>
      <c r="GR8" t="e">
        <f>IF(#REF!,"AAAAAH9v/8c=",0)</f>
        <v>#REF!</v>
      </c>
      <c r="GS8" t="e">
        <f>AND(#REF!,"AAAAAH9v/8g=")</f>
        <v>#REF!</v>
      </c>
      <c r="GT8" t="e">
        <f>AND(#REF!,"AAAAAH9v/8k=")</f>
        <v>#REF!</v>
      </c>
      <c r="GU8" t="e">
        <f>AND(#REF!,"AAAAAH9v/8o=")</f>
        <v>#REF!</v>
      </c>
      <c r="GV8" t="e">
        <f>AND(#REF!,"AAAAAH9v/8s=")</f>
        <v>#REF!</v>
      </c>
      <c r="GW8" t="e">
        <f>AND(#REF!,"AAAAAH9v/8w=")</f>
        <v>#REF!</v>
      </c>
      <c r="GX8" t="e">
        <f>AND(#REF!,"AAAAAH9v/80=")</f>
        <v>#REF!</v>
      </c>
      <c r="GY8" t="e">
        <f>IF(#REF!,"AAAAAH9v/84=",0)</f>
        <v>#REF!</v>
      </c>
      <c r="GZ8" t="e">
        <f>AND(#REF!,"AAAAAH9v/88=")</f>
        <v>#REF!</v>
      </c>
      <c r="HA8" t="e">
        <f>AND(#REF!,"AAAAAH9v/9A=")</f>
        <v>#REF!</v>
      </c>
      <c r="HB8" t="e">
        <f>AND(#REF!,"AAAAAH9v/9E=")</f>
        <v>#REF!</v>
      </c>
      <c r="HC8" t="e">
        <f>AND(#REF!,"AAAAAH9v/9I=")</f>
        <v>#REF!</v>
      </c>
      <c r="HD8" t="e">
        <f>AND(#REF!,"AAAAAH9v/9M=")</f>
        <v>#REF!</v>
      </c>
      <c r="HE8" t="e">
        <f>AND(#REF!,"AAAAAH9v/9Q=")</f>
        <v>#REF!</v>
      </c>
      <c r="HF8" t="e">
        <f>IF(#REF!,"AAAAAH9v/9U=",0)</f>
        <v>#REF!</v>
      </c>
      <c r="HG8" t="e">
        <f>AND(#REF!,"AAAAAH9v/9Y=")</f>
        <v>#REF!</v>
      </c>
      <c r="HH8" t="e">
        <f>AND(#REF!,"AAAAAH9v/9c=")</f>
        <v>#REF!</v>
      </c>
      <c r="HI8" t="e">
        <f>AND(#REF!,"AAAAAH9v/9g=")</f>
        <v>#REF!</v>
      </c>
      <c r="HJ8" t="e">
        <f>AND(#REF!,"AAAAAH9v/9k=")</f>
        <v>#REF!</v>
      </c>
      <c r="HK8" t="e">
        <f>AND(#REF!,"AAAAAH9v/9o=")</f>
        <v>#REF!</v>
      </c>
      <c r="HL8" t="e">
        <f>AND(#REF!,"AAAAAH9v/9s=")</f>
        <v>#REF!</v>
      </c>
      <c r="HM8" t="e">
        <f>IF(#REF!,"AAAAAH9v/9w=",0)</f>
        <v>#REF!</v>
      </c>
      <c r="HN8" t="e">
        <f>AND(#REF!,"AAAAAH9v/90=")</f>
        <v>#REF!</v>
      </c>
      <c r="HO8" t="e">
        <f>AND(#REF!,"AAAAAH9v/94=")</f>
        <v>#REF!</v>
      </c>
      <c r="HP8" t="e">
        <f>AND(#REF!,"AAAAAH9v/98=")</f>
        <v>#REF!</v>
      </c>
      <c r="HQ8" t="e">
        <f>AND(#REF!,"AAAAAH9v/+A=")</f>
        <v>#REF!</v>
      </c>
      <c r="HR8" t="e">
        <f>AND(#REF!,"AAAAAH9v/+E=")</f>
        <v>#REF!</v>
      </c>
      <c r="HS8" t="e">
        <f>AND(#REF!,"AAAAAH9v/+I=")</f>
        <v>#REF!</v>
      </c>
      <c r="HT8" t="e">
        <f>IF(#REF!,"AAAAAH9v/+M=",0)</f>
        <v>#REF!</v>
      </c>
      <c r="HU8" t="e">
        <f>AND(#REF!,"AAAAAH9v/+Q=")</f>
        <v>#REF!</v>
      </c>
      <c r="HV8" t="e">
        <f>AND(#REF!,"AAAAAH9v/+U=")</f>
        <v>#REF!</v>
      </c>
      <c r="HW8" t="e">
        <f>AND(#REF!,"AAAAAH9v/+Y=")</f>
        <v>#REF!</v>
      </c>
      <c r="HX8" t="e">
        <f>AND(#REF!,"AAAAAH9v/+c=")</f>
        <v>#REF!</v>
      </c>
      <c r="HY8" t="e">
        <f>AND(#REF!,"AAAAAH9v/+g=")</f>
        <v>#REF!</v>
      </c>
      <c r="HZ8" t="e">
        <f>AND(#REF!,"AAAAAH9v/+k=")</f>
        <v>#REF!</v>
      </c>
      <c r="IA8" t="e">
        <f>IF(#REF!,"AAAAAH9v/+o=",0)</f>
        <v>#REF!</v>
      </c>
      <c r="IB8" t="e">
        <f>AND(#REF!,"AAAAAH9v/+s=")</f>
        <v>#REF!</v>
      </c>
      <c r="IC8" t="e">
        <f>AND(#REF!,"AAAAAH9v/+w=")</f>
        <v>#REF!</v>
      </c>
      <c r="ID8" t="e">
        <f>AND(#REF!,"AAAAAH9v/+0=")</f>
        <v>#REF!</v>
      </c>
      <c r="IE8" t="e">
        <f>AND(#REF!,"AAAAAH9v/+4=")</f>
        <v>#REF!</v>
      </c>
      <c r="IF8" t="e">
        <f>AND(#REF!,"AAAAAH9v/+8=")</f>
        <v>#REF!</v>
      </c>
      <c r="IG8" t="e">
        <f>AND(#REF!,"AAAAAH9v//A=")</f>
        <v>#REF!</v>
      </c>
      <c r="IH8" t="e">
        <f>IF(#REF!,"AAAAAH9v//E=",0)</f>
        <v>#REF!</v>
      </c>
      <c r="II8" t="e">
        <f>AND(#REF!,"AAAAAH9v//I=")</f>
        <v>#REF!</v>
      </c>
      <c r="IJ8" t="e">
        <f>AND(#REF!,"AAAAAH9v//M=")</f>
        <v>#REF!</v>
      </c>
      <c r="IK8" t="e">
        <f>AND(#REF!,"AAAAAH9v//Q=")</f>
        <v>#REF!</v>
      </c>
      <c r="IL8" t="e">
        <f>AND(#REF!,"AAAAAH9v//U=")</f>
        <v>#REF!</v>
      </c>
      <c r="IM8" t="e">
        <f>AND(#REF!,"AAAAAH9v//Y=")</f>
        <v>#REF!</v>
      </c>
      <c r="IN8" t="e">
        <f>AND(#REF!,"AAAAAH9v//c=")</f>
        <v>#REF!</v>
      </c>
      <c r="IO8" t="e">
        <f>IF(#REF!,"AAAAAH9v//g=",0)</f>
        <v>#REF!</v>
      </c>
      <c r="IP8" t="e">
        <f>AND(#REF!,"AAAAAH9v//k=")</f>
        <v>#REF!</v>
      </c>
      <c r="IQ8" t="e">
        <f>AND(#REF!,"AAAAAH9v//o=")</f>
        <v>#REF!</v>
      </c>
      <c r="IR8" t="e">
        <f>AND(#REF!,"AAAAAH9v//s=")</f>
        <v>#REF!</v>
      </c>
      <c r="IS8" t="e">
        <f>AND(#REF!,"AAAAAH9v//w=")</f>
        <v>#REF!</v>
      </c>
      <c r="IT8" t="e">
        <f>AND(#REF!,"AAAAAH9v//0=")</f>
        <v>#REF!</v>
      </c>
      <c r="IU8" t="e">
        <f>AND(#REF!,"AAAAAH9v//4=")</f>
        <v>#REF!</v>
      </c>
      <c r="IV8" t="e">
        <f>IF(#REF!,"AAAAAH9v//8=",0)</f>
        <v>#REF!</v>
      </c>
    </row>
    <row r="9" spans="1:256">
      <c r="A9" t="e">
        <f>AND(#REF!,"AAAAAB+d7wA=")</f>
        <v>#REF!</v>
      </c>
      <c r="B9" t="e">
        <f>AND(#REF!,"AAAAAB+d7wE=")</f>
        <v>#REF!</v>
      </c>
      <c r="C9" t="e">
        <f>AND(#REF!,"AAAAAB+d7wI=")</f>
        <v>#REF!</v>
      </c>
      <c r="D9" t="e">
        <f>AND(#REF!,"AAAAAB+d7wM=")</f>
        <v>#REF!</v>
      </c>
      <c r="E9" t="e">
        <f>AND(#REF!,"AAAAAB+d7wQ=")</f>
        <v>#REF!</v>
      </c>
      <c r="F9" t="e">
        <f>AND(#REF!,"AAAAAB+d7wU=")</f>
        <v>#REF!</v>
      </c>
      <c r="G9" t="e">
        <f>IF(#REF!,"AAAAAB+d7wY=",0)</f>
        <v>#REF!</v>
      </c>
      <c r="H9" t="e">
        <f>AND(#REF!,"AAAAAB+d7wc=")</f>
        <v>#REF!</v>
      </c>
      <c r="I9" t="e">
        <f>AND(#REF!,"AAAAAB+d7wg=")</f>
        <v>#REF!</v>
      </c>
      <c r="J9" t="e">
        <f>AND(#REF!,"AAAAAB+d7wk=")</f>
        <v>#REF!</v>
      </c>
      <c r="K9" t="e">
        <f>AND(#REF!,"AAAAAB+d7wo=")</f>
        <v>#REF!</v>
      </c>
      <c r="L9" t="e">
        <f>AND(#REF!,"AAAAAB+d7ws=")</f>
        <v>#REF!</v>
      </c>
      <c r="M9" t="e">
        <f>AND(#REF!,"AAAAAB+d7ww=")</f>
        <v>#REF!</v>
      </c>
      <c r="N9" t="e">
        <f>IF(#REF!,"AAAAAB+d7w0=",0)</f>
        <v>#REF!</v>
      </c>
      <c r="O9" t="e">
        <f>IF(#REF!,"AAAAAB+d7w4=",0)</f>
        <v>#REF!</v>
      </c>
      <c r="P9" t="e">
        <f>IF(#REF!,"AAAAAB+d7w8=",0)</f>
        <v>#REF!</v>
      </c>
      <c r="Q9" t="e">
        <f>IF(#REF!,"AAAAAB+d7xA=",0)</f>
        <v>#REF!</v>
      </c>
      <c r="R9" t="e">
        <f>IF(#REF!,"AAAAAB+d7xE=",0)</f>
        <v>#REF!</v>
      </c>
      <c r="S9" t="e">
        <f>IF(#REF!,"AAAAAB+d7xI=",0)</f>
        <v>#REF!</v>
      </c>
      <c r="T9" t="e">
        <f>IF(#REF!,"AAAAAB+d7xM=",0)</f>
        <v>#REF!</v>
      </c>
      <c r="U9" t="e">
        <f>AND(#REF!,"AAAAAB+d7xQ=")</f>
        <v>#REF!</v>
      </c>
      <c r="V9" t="e">
        <f>AND(#REF!,"AAAAAB+d7xU=")</f>
        <v>#REF!</v>
      </c>
      <c r="W9" t="e">
        <f>AND(#REF!,"AAAAAB+d7xY=")</f>
        <v>#REF!</v>
      </c>
      <c r="X9" t="e">
        <f>AND(#REF!,"AAAAAB+d7xc=")</f>
        <v>#REF!</v>
      </c>
      <c r="Y9" t="e">
        <f>AND(#REF!,"AAAAAB+d7xg=")</f>
        <v>#REF!</v>
      </c>
      <c r="Z9" t="e">
        <f>AND(#REF!,"AAAAAB+d7xk=")</f>
        <v>#REF!</v>
      </c>
      <c r="AA9" t="e">
        <f>IF(#REF!,"AAAAAB+d7xo=",0)</f>
        <v>#REF!</v>
      </c>
      <c r="AB9" t="e">
        <f>AND(#REF!,"AAAAAB+d7xs=")</f>
        <v>#REF!</v>
      </c>
      <c r="AC9" t="e">
        <f>AND(#REF!,"AAAAAB+d7xw=")</f>
        <v>#REF!</v>
      </c>
      <c r="AD9" t="e">
        <f>AND(#REF!,"AAAAAB+d7x0=")</f>
        <v>#REF!</v>
      </c>
      <c r="AE9" t="e">
        <f>AND(#REF!,"AAAAAB+d7x4=")</f>
        <v>#REF!</v>
      </c>
      <c r="AF9" t="e">
        <f>AND(#REF!,"AAAAAB+d7x8=")</f>
        <v>#REF!</v>
      </c>
      <c r="AG9" t="e">
        <f>AND(#REF!,"AAAAAB+d7yA=")</f>
        <v>#REF!</v>
      </c>
      <c r="AH9" t="e">
        <f>IF(#REF!,"AAAAAB+d7yE=",0)</f>
        <v>#REF!</v>
      </c>
      <c r="AI9" t="e">
        <f>AND(#REF!,"AAAAAB+d7yI=")</f>
        <v>#REF!</v>
      </c>
      <c r="AJ9" t="e">
        <f>AND(#REF!,"AAAAAB+d7yM=")</f>
        <v>#REF!</v>
      </c>
      <c r="AK9" t="e">
        <f>AND(#REF!,"AAAAAB+d7yQ=")</f>
        <v>#REF!</v>
      </c>
      <c r="AL9" t="e">
        <f>AND(#REF!,"AAAAAB+d7yU=")</f>
        <v>#REF!</v>
      </c>
      <c r="AM9" t="e">
        <f>AND(#REF!,"AAAAAB+d7yY=")</f>
        <v>#REF!</v>
      </c>
      <c r="AN9" t="e">
        <f>AND(#REF!,"AAAAAB+d7yc=")</f>
        <v>#REF!</v>
      </c>
      <c r="AO9" t="e">
        <f>IF(#REF!,"AAAAAB+d7yg=",0)</f>
        <v>#REF!</v>
      </c>
      <c r="AP9" t="e">
        <f>AND(#REF!,"AAAAAB+d7yk=")</f>
        <v>#REF!</v>
      </c>
      <c r="AQ9" t="e">
        <f>AND(#REF!,"AAAAAB+d7yo=")</f>
        <v>#REF!</v>
      </c>
      <c r="AR9" t="e">
        <f>AND(#REF!,"AAAAAB+d7ys=")</f>
        <v>#REF!</v>
      </c>
      <c r="AS9" t="e">
        <f>AND(#REF!,"AAAAAB+d7yw=")</f>
        <v>#REF!</v>
      </c>
      <c r="AT9" t="e">
        <f>AND(#REF!,"AAAAAB+d7y0=")</f>
        <v>#REF!</v>
      </c>
      <c r="AU9" t="e">
        <f>AND(#REF!,"AAAAAB+d7y4=")</f>
        <v>#REF!</v>
      </c>
      <c r="AV9" t="e">
        <f>IF(#REF!,"AAAAAB+d7y8=",0)</f>
        <v>#REF!</v>
      </c>
      <c r="AW9" t="e">
        <f>AND(#REF!,"AAAAAB+d7zA=")</f>
        <v>#REF!</v>
      </c>
      <c r="AX9" t="e">
        <f>IF(#REF!,"AAAAAB+d7zE=",0)</f>
        <v>#REF!</v>
      </c>
      <c r="AY9" t="e">
        <f>AND(#REF!,"AAAAAB+d7zI=")</f>
        <v>#REF!</v>
      </c>
      <c r="AZ9" t="e">
        <f>IF(#REF!,"AAAAAB+d7zM=",0)</f>
        <v>#REF!</v>
      </c>
      <c r="BA9" t="e">
        <f>AND(#REF!,"AAAAAB+d7zQ=")</f>
        <v>#REF!</v>
      </c>
      <c r="BB9" t="e">
        <f>IF(#REF!,"AAAAAB+d7zU=",0)</f>
        <v>#REF!</v>
      </c>
      <c r="BC9" t="e">
        <f>AND(#REF!,"AAAAAB+d7zY=")</f>
        <v>#REF!</v>
      </c>
      <c r="BD9" t="e">
        <f>IF(#REF!,"AAAAAB+d7zc=",0)</f>
        <v>#REF!</v>
      </c>
      <c r="BE9" t="e">
        <f>AND(#REF!,"AAAAAB+d7zg=")</f>
        <v>#REF!</v>
      </c>
      <c r="BF9" t="e">
        <f>IF(#REF!,"AAAAAB+d7zk=",0)</f>
        <v>#REF!</v>
      </c>
      <c r="BG9" t="e">
        <f>IF(#REF!,"AAAAAB+d7zo=",0)</f>
        <v>#REF!</v>
      </c>
      <c r="BH9" t="e">
        <f>IF(#REF!,"AAAAAB+d7zs=",0)</f>
        <v>#REF!</v>
      </c>
      <c r="BI9" t="e">
        <f>IF(#REF!,"AAAAAB+d7zw=",0)</f>
        <v>#REF!</v>
      </c>
      <c r="BJ9" t="e">
        <f>IF(#REF!,"AAAAAB+d7z0=",0)</f>
        <v>#REF!</v>
      </c>
      <c r="BK9" t="e">
        <f>IF(#REF!,"AAAAAB+d7z4=",0)</f>
        <v>#REF!</v>
      </c>
      <c r="BL9" t="e">
        <f>IF(#REF!,"AAAAAB+d7z8=",0)</f>
        <v>#REF!</v>
      </c>
      <c r="BM9" t="e">
        <f>AND(#REF!,"AAAAAB+d70A=")</f>
        <v>#REF!</v>
      </c>
      <c r="BN9" t="e">
        <f>AND(#REF!,"AAAAAB+d70E=")</f>
        <v>#REF!</v>
      </c>
      <c r="BO9" t="e">
        <f>AND(#REF!,"AAAAAB+d70I=")</f>
        <v>#REF!</v>
      </c>
      <c r="BP9" t="e">
        <f>AND(#REF!,"AAAAAB+d70M=")</f>
        <v>#REF!</v>
      </c>
      <c r="BQ9" t="e">
        <f>AND(#REF!,"AAAAAB+d70Q=")</f>
        <v>#REF!</v>
      </c>
      <c r="BR9" t="e">
        <f>IF(#REF!,"AAAAAB+d70U=",0)</f>
        <v>#REF!</v>
      </c>
      <c r="BS9" t="e">
        <f>AND(#REF!,"AAAAAB+d70Y=")</f>
        <v>#REF!</v>
      </c>
      <c r="BT9" t="e">
        <f>AND(#REF!,"AAAAAB+d70c=")</f>
        <v>#REF!</v>
      </c>
      <c r="BU9" t="e">
        <f>AND(#REF!,"AAAAAB+d70g=")</f>
        <v>#REF!</v>
      </c>
      <c r="BV9" t="e">
        <f>AND(#REF!,"AAAAAB+d70k=")</f>
        <v>#REF!</v>
      </c>
      <c r="BW9" t="e">
        <f>AND(#REF!,"AAAAAB+d70o=")</f>
        <v>#REF!</v>
      </c>
      <c r="BX9" t="e">
        <f>IF(#REF!,"AAAAAB+d70s=",0)</f>
        <v>#REF!</v>
      </c>
      <c r="BY9" t="e">
        <f>AND(#REF!,"AAAAAB+d70w=")</f>
        <v>#REF!</v>
      </c>
      <c r="BZ9" t="e">
        <f>AND(#REF!,"AAAAAB+d700=")</f>
        <v>#REF!</v>
      </c>
      <c r="CA9" t="e">
        <f>AND(#REF!,"AAAAAB+d704=")</f>
        <v>#REF!</v>
      </c>
      <c r="CB9" t="e">
        <f>AND(#REF!,"AAAAAB+d708=")</f>
        <v>#REF!</v>
      </c>
      <c r="CC9" t="e">
        <f>AND(#REF!,"AAAAAB+d71A=")</f>
        <v>#REF!</v>
      </c>
      <c r="CD9" t="e">
        <f>IF(#REF!,"AAAAAB+d71E=",0)</f>
        <v>#REF!</v>
      </c>
      <c r="CE9" t="e">
        <f>AND(#REF!,"AAAAAB+d71I=")</f>
        <v>#REF!</v>
      </c>
      <c r="CF9" t="e">
        <f>AND(#REF!,"AAAAAB+d71M=")</f>
        <v>#REF!</v>
      </c>
      <c r="CG9" t="e">
        <f>AND(#REF!,"AAAAAB+d71Q=")</f>
        <v>#REF!</v>
      </c>
      <c r="CH9" t="e">
        <f>AND(#REF!,"AAAAAB+d71U=")</f>
        <v>#REF!</v>
      </c>
      <c r="CI9" t="e">
        <f>AND(#REF!,"AAAAAB+d71Y=")</f>
        <v>#REF!</v>
      </c>
      <c r="CJ9" t="e">
        <f>IF(#REF!,"AAAAAB+d71c=",0)</f>
        <v>#REF!</v>
      </c>
      <c r="CK9" t="e">
        <f>AND(#REF!,"AAAAAB+d71g=")</f>
        <v>#REF!</v>
      </c>
      <c r="CL9" t="e">
        <f>IF(#REF!,"AAAAAB+d71k=",0)</f>
        <v>#REF!</v>
      </c>
      <c r="CM9" t="e">
        <f>AND(#REF!,"AAAAAB+d71o=")</f>
        <v>#REF!</v>
      </c>
      <c r="CN9" t="e">
        <f>IF(#REF!,"AAAAAB+d71s=",0)</f>
        <v>#REF!</v>
      </c>
      <c r="CO9" t="e">
        <f>AND(#REF!,"AAAAAB+d71w=")</f>
        <v>#REF!</v>
      </c>
      <c r="CP9" t="e">
        <f>IF(#REF!,"AAAAAB+d710=",0)</f>
        <v>#REF!</v>
      </c>
      <c r="CQ9" t="e">
        <f>AND(#REF!,"AAAAAB+d714=")</f>
        <v>#REF!</v>
      </c>
      <c r="CR9" t="e">
        <f>IF(#REF!,"AAAAAB+d718=",0)</f>
        <v>#REF!</v>
      </c>
      <c r="CS9" t="e">
        <f>IF(#REF!,"AAAAAB+d72A=",0)</f>
        <v>#REF!</v>
      </c>
      <c r="CT9" t="e">
        <f>IF(#REF!,"AAAAAB+d72E=",0)</f>
        <v>#REF!</v>
      </c>
      <c r="CU9" t="e">
        <f>IF(#REF!,"AAAAAB+d72I=",0)</f>
        <v>#REF!</v>
      </c>
      <c r="CV9" t="e">
        <f>IF(#REF!,"AAAAAB+d72M=",0)</f>
        <v>#REF!</v>
      </c>
      <c r="CW9" t="e">
        <f>IF(#REF!,"AAAAAB+d72Q=",0)</f>
        <v>#REF!</v>
      </c>
      <c r="CX9" t="e">
        <f>AND(#REF!,"AAAAAB+d72U=")</f>
        <v>#REF!</v>
      </c>
      <c r="CY9" t="e">
        <f>AND(#REF!,"AAAAAB+d72Y=")</f>
        <v>#REF!</v>
      </c>
      <c r="CZ9" t="e">
        <f>AND(#REF!,"AAAAAB+d72c=")</f>
        <v>#REF!</v>
      </c>
      <c r="DA9" t="e">
        <f>AND(#REF!,"AAAAAB+d72g=")</f>
        <v>#REF!</v>
      </c>
      <c r="DB9" t="e">
        <f>IF(#REF!,"AAAAAB+d72k=",0)</f>
        <v>#REF!</v>
      </c>
      <c r="DC9" t="e">
        <f>AND(#REF!,"AAAAAB+d72o=")</f>
        <v>#REF!</v>
      </c>
      <c r="DD9" t="e">
        <f>AND(#REF!,"AAAAAB+d72s=")</f>
        <v>#REF!</v>
      </c>
      <c r="DE9" t="e">
        <f>AND(#REF!,"AAAAAB+d72w=")</f>
        <v>#REF!</v>
      </c>
      <c r="DF9" t="e">
        <f>AND(#REF!,"AAAAAB+d720=")</f>
        <v>#REF!</v>
      </c>
      <c r="DG9" t="e">
        <f>IF(#REF!,"AAAAAB+d724=",0)</f>
        <v>#REF!</v>
      </c>
      <c r="DH9" t="e">
        <f>AND(#REF!,"AAAAAB+d728=")</f>
        <v>#REF!</v>
      </c>
      <c r="DI9" t="e">
        <f>AND(#REF!,"AAAAAB+d73A=")</f>
        <v>#REF!</v>
      </c>
      <c r="DJ9" t="e">
        <f>AND(#REF!,"AAAAAB+d73E=")</f>
        <v>#REF!</v>
      </c>
      <c r="DK9" t="e">
        <f>AND(#REF!,"AAAAAB+d73I=")</f>
        <v>#REF!</v>
      </c>
      <c r="DL9" t="e">
        <f>IF(#REF!,"AAAAAB+d73M=",0)</f>
        <v>#REF!</v>
      </c>
      <c r="DM9" t="e">
        <f>AND(#REF!,"AAAAAB+d73Q=")</f>
        <v>#REF!</v>
      </c>
      <c r="DN9" t="e">
        <f>AND(#REF!,"AAAAAB+d73U=")</f>
        <v>#REF!</v>
      </c>
      <c r="DO9" t="e">
        <f>AND(#REF!,"AAAAAB+d73Y=")</f>
        <v>#REF!</v>
      </c>
      <c r="DP9" t="e">
        <f>AND(#REF!,"AAAAAB+d73c=")</f>
        <v>#REF!</v>
      </c>
      <c r="DQ9" t="e">
        <f>IF(#REF!,"AAAAAB+d73g=",0)</f>
        <v>#REF!</v>
      </c>
      <c r="DR9" t="e">
        <f>AND(#REF!,"AAAAAB+d73k=")</f>
        <v>#REF!</v>
      </c>
      <c r="DS9" t="e">
        <f>AND(#REF!,"AAAAAB+d73o=")</f>
        <v>#REF!</v>
      </c>
      <c r="DT9" t="e">
        <f>AND(#REF!,"AAAAAB+d73s=")</f>
        <v>#REF!</v>
      </c>
      <c r="DU9" t="e">
        <f>AND(#REF!,"AAAAAB+d73w=")</f>
        <v>#REF!</v>
      </c>
      <c r="DV9" t="e">
        <f>IF(#REF!,"AAAAAB+d730=",0)</f>
        <v>#REF!</v>
      </c>
      <c r="DW9" t="e">
        <f>AND(#REF!,"AAAAAB+d734=")</f>
        <v>#REF!</v>
      </c>
      <c r="DX9" t="e">
        <f>AND(#REF!,"AAAAAB+d738=")</f>
        <v>#REF!</v>
      </c>
      <c r="DY9" t="e">
        <f>AND(#REF!,"AAAAAB+d74A=")</f>
        <v>#REF!</v>
      </c>
      <c r="DZ9" t="e">
        <f>AND(#REF!,"AAAAAB+d74E=")</f>
        <v>#REF!</v>
      </c>
      <c r="EA9" t="e">
        <f>IF(#REF!,"AAAAAB+d74I=",0)</f>
        <v>#REF!</v>
      </c>
      <c r="EB9" t="e">
        <f>AND(#REF!,"AAAAAB+d74M=")</f>
        <v>#REF!</v>
      </c>
      <c r="EC9" t="e">
        <f>AND(#REF!,"AAAAAB+d74Q=")</f>
        <v>#REF!</v>
      </c>
      <c r="ED9" t="e">
        <f>AND(#REF!,"AAAAAB+d74U=")</f>
        <v>#REF!</v>
      </c>
      <c r="EE9" t="e">
        <f>AND(#REF!,"AAAAAB+d74Y=")</f>
        <v>#REF!</v>
      </c>
      <c r="EF9" t="e">
        <f>IF(#REF!,"AAAAAB+d74c=",0)</f>
        <v>#REF!</v>
      </c>
      <c r="EG9" t="e">
        <f>AND(#REF!,"AAAAAB+d74g=")</f>
        <v>#REF!</v>
      </c>
      <c r="EH9" t="e">
        <f>AND(#REF!,"AAAAAB+d74k=")</f>
        <v>#REF!</v>
      </c>
      <c r="EI9" t="e">
        <f>AND(#REF!,"AAAAAB+d74o=")</f>
        <v>#REF!</v>
      </c>
      <c r="EJ9" t="e">
        <f>AND(#REF!,"AAAAAB+d74s=")</f>
        <v>#REF!</v>
      </c>
      <c r="EK9" t="e">
        <f>IF(#REF!,"AAAAAB+d74w=",0)</f>
        <v>#REF!</v>
      </c>
      <c r="EL9" t="e">
        <f>AND(#REF!,"AAAAAB+d740=")</f>
        <v>#REF!</v>
      </c>
      <c r="EM9" t="e">
        <f>IF(#REF!,"AAAAAB+d744=",0)</f>
        <v>#REF!</v>
      </c>
      <c r="EN9" t="e">
        <f>AND(#REF!,"AAAAAB+d748=")</f>
        <v>#REF!</v>
      </c>
      <c r="EO9" t="e">
        <f>IF(#REF!,"AAAAAB+d75A=",0)</f>
        <v>#REF!</v>
      </c>
      <c r="EP9" t="e">
        <f>AND(#REF!,"AAAAAB+d75E=")</f>
        <v>#REF!</v>
      </c>
      <c r="EQ9" t="e">
        <f>IF(#REF!,"AAAAAB+d75I=",0)</f>
        <v>#REF!</v>
      </c>
      <c r="ER9" t="e">
        <f>AND(#REF!,"AAAAAB+d75M=")</f>
        <v>#REF!</v>
      </c>
      <c r="ES9" t="e">
        <f>IF(#REF!,"AAAAAB+d75Q=",0)</f>
        <v>#REF!</v>
      </c>
      <c r="ET9" t="e">
        <f>IF(#REF!,"AAAAAB+d75U=",0)</f>
        <v>#REF!</v>
      </c>
      <c r="EU9" t="e">
        <f>IF(#REF!,"AAAAAB+d75Y=",0)</f>
        <v>#REF!</v>
      </c>
      <c r="EV9" t="e">
        <f>IF(#REF!,"AAAAAB+d75c=",0)</f>
        <v>#REF!</v>
      </c>
      <c r="EW9" t="e">
        <f>IF(#REF!,"AAAAAB+d75g=",0)</f>
        <v>#REF!</v>
      </c>
      <c r="EX9" t="e">
        <f>AND(#REF!,"AAAAAB+d75k=")</f>
        <v>#REF!</v>
      </c>
      <c r="EY9" t="e">
        <f>AND(#REF!,"AAAAAB+d75o=")</f>
        <v>#REF!</v>
      </c>
      <c r="EZ9" t="e">
        <f>AND(#REF!,"AAAAAB+d75s=")</f>
        <v>#REF!</v>
      </c>
      <c r="FA9" t="e">
        <f>AND(#REF!,"AAAAAB+d75w=")</f>
        <v>#REF!</v>
      </c>
      <c r="FB9" t="e">
        <f>AND(#REF!,"AAAAAB+d750=")</f>
        <v>#REF!</v>
      </c>
      <c r="FC9" t="e">
        <f>IF(#REF!,"AAAAAB+d754=",0)</f>
        <v>#REF!</v>
      </c>
      <c r="FD9" t="e">
        <f>AND(#REF!,"AAAAAB+d758=")</f>
        <v>#REF!</v>
      </c>
      <c r="FE9" t="e">
        <f>AND(#REF!,"AAAAAB+d76A=")</f>
        <v>#REF!</v>
      </c>
      <c r="FF9" t="e">
        <f>AND(#REF!,"AAAAAB+d76E=")</f>
        <v>#REF!</v>
      </c>
      <c r="FG9" t="e">
        <f>AND(#REF!,"AAAAAB+d76I=")</f>
        <v>#REF!</v>
      </c>
      <c r="FH9" t="e">
        <f>AND(#REF!,"AAAAAB+d76M=")</f>
        <v>#REF!</v>
      </c>
      <c r="FI9" t="e">
        <f>IF(#REF!,"AAAAAB+d76Q=",0)</f>
        <v>#REF!</v>
      </c>
      <c r="FJ9" t="e">
        <f>AND(#REF!,"AAAAAB+d76U=")</f>
        <v>#REF!</v>
      </c>
      <c r="FK9" t="e">
        <f>AND(#REF!,"AAAAAB+d76Y=")</f>
        <v>#REF!</v>
      </c>
      <c r="FL9" t="e">
        <f>AND(#REF!,"AAAAAB+d76c=")</f>
        <v>#REF!</v>
      </c>
      <c r="FM9" t="e">
        <f>AND(#REF!,"AAAAAB+d76g=")</f>
        <v>#REF!</v>
      </c>
      <c r="FN9" t="e">
        <f>AND(#REF!,"AAAAAB+d76k=")</f>
        <v>#REF!</v>
      </c>
      <c r="FO9" t="e">
        <f>IF(#REF!,"AAAAAB+d76o=",0)</f>
        <v>#REF!</v>
      </c>
      <c r="FP9" t="e">
        <f>AND(#REF!,"AAAAAB+d76s=")</f>
        <v>#REF!</v>
      </c>
      <c r="FQ9" t="e">
        <f>AND(#REF!,"AAAAAB+d76w=")</f>
        <v>#REF!</v>
      </c>
      <c r="FR9" t="e">
        <f>AND(#REF!,"AAAAAB+d760=")</f>
        <v>#REF!</v>
      </c>
      <c r="FS9" t="e">
        <f>AND(#REF!,"AAAAAB+d764=")</f>
        <v>#REF!</v>
      </c>
      <c r="FT9" t="e">
        <f>AND(#REF!,"AAAAAB+d768=")</f>
        <v>#REF!</v>
      </c>
      <c r="FU9" t="e">
        <f>IF(#REF!,"AAAAAB+d77A=",0)</f>
        <v>#REF!</v>
      </c>
      <c r="FV9" t="e">
        <f>AND(#REF!,"AAAAAB+d77E=")</f>
        <v>#REF!</v>
      </c>
      <c r="FW9" t="e">
        <f>AND(#REF!,"AAAAAB+d77I=")</f>
        <v>#REF!</v>
      </c>
      <c r="FX9" t="e">
        <f>AND(#REF!,"AAAAAB+d77M=")</f>
        <v>#REF!</v>
      </c>
      <c r="FY9" t="e">
        <f>AND(#REF!,"AAAAAB+d77Q=")</f>
        <v>#REF!</v>
      </c>
      <c r="FZ9" t="e">
        <f>AND(#REF!,"AAAAAB+d77U=")</f>
        <v>#REF!</v>
      </c>
      <c r="GA9" t="e">
        <f>IF(#REF!,"AAAAAB+d77Y=",0)</f>
        <v>#REF!</v>
      </c>
      <c r="GB9" t="e">
        <f>AND(#REF!,"AAAAAB+d77c=")</f>
        <v>#REF!</v>
      </c>
      <c r="GC9" t="e">
        <f>AND(#REF!,"AAAAAB+d77g=")</f>
        <v>#REF!</v>
      </c>
      <c r="GD9" t="e">
        <f>AND(#REF!,"AAAAAB+d77k=")</f>
        <v>#REF!</v>
      </c>
      <c r="GE9" t="e">
        <f>AND(#REF!,"AAAAAB+d77o=")</f>
        <v>#REF!</v>
      </c>
      <c r="GF9" t="e">
        <f>AND(#REF!,"AAAAAB+d77s=")</f>
        <v>#REF!</v>
      </c>
      <c r="GG9" t="e">
        <f>IF(#REF!,"AAAAAB+d77w=",0)</f>
        <v>#REF!</v>
      </c>
      <c r="GH9" t="e">
        <f>AND(#REF!,"AAAAAB+d770=")</f>
        <v>#REF!</v>
      </c>
      <c r="GI9" t="e">
        <f>AND(#REF!,"AAAAAB+d774=")</f>
        <v>#REF!</v>
      </c>
      <c r="GJ9" t="e">
        <f>AND(#REF!,"AAAAAB+d778=")</f>
        <v>#REF!</v>
      </c>
      <c r="GK9" t="e">
        <f>AND(#REF!,"AAAAAB+d78A=")</f>
        <v>#REF!</v>
      </c>
      <c r="GL9" t="e">
        <f>AND(#REF!,"AAAAAB+d78E=")</f>
        <v>#REF!</v>
      </c>
      <c r="GM9" t="e">
        <f>IF(#REF!,"AAAAAB+d78I=",0)</f>
        <v>#REF!</v>
      </c>
      <c r="GN9" t="e">
        <f>AND(#REF!,"AAAAAB+d78M=")</f>
        <v>#REF!</v>
      </c>
      <c r="GO9" t="e">
        <f>AND(#REF!,"AAAAAB+d78Q=")</f>
        <v>#REF!</v>
      </c>
      <c r="GP9" t="e">
        <f>AND(#REF!,"AAAAAB+d78U=")</f>
        <v>#REF!</v>
      </c>
      <c r="GQ9" t="e">
        <f>AND(#REF!,"AAAAAB+d78Y=")</f>
        <v>#REF!</v>
      </c>
      <c r="GR9" t="e">
        <f>AND(#REF!,"AAAAAB+d78c=")</f>
        <v>#REF!</v>
      </c>
      <c r="GS9" t="e">
        <f>IF(#REF!,"AAAAAB+d78g=",0)</f>
        <v>#REF!</v>
      </c>
      <c r="GT9" t="e">
        <f>AND(#REF!,"AAAAAB+d78k=")</f>
        <v>#REF!</v>
      </c>
      <c r="GU9" t="e">
        <f>AND(#REF!,"AAAAAB+d78o=")</f>
        <v>#REF!</v>
      </c>
      <c r="GV9" t="e">
        <f>AND(#REF!,"AAAAAB+d78s=")</f>
        <v>#REF!</v>
      </c>
      <c r="GW9" t="e">
        <f>AND(#REF!,"AAAAAB+d78w=")</f>
        <v>#REF!</v>
      </c>
      <c r="GX9" t="e">
        <f>AND(#REF!,"AAAAAB+d780=")</f>
        <v>#REF!</v>
      </c>
      <c r="GY9" t="e">
        <f>IF(#REF!,"AAAAAB+d784=",0)</f>
        <v>#REF!</v>
      </c>
      <c r="GZ9" t="e">
        <f>AND(#REF!,"AAAAAB+d788=")</f>
        <v>#REF!</v>
      </c>
      <c r="HA9" t="e">
        <f>AND(#REF!,"AAAAAB+d79A=")</f>
        <v>#REF!</v>
      </c>
      <c r="HB9" t="e">
        <f>AND(#REF!,"AAAAAB+d79E=")</f>
        <v>#REF!</v>
      </c>
      <c r="HC9" t="e">
        <f>AND(#REF!,"AAAAAB+d79I=")</f>
        <v>#REF!</v>
      </c>
      <c r="HD9" t="e">
        <f>AND(#REF!,"AAAAAB+d79M=")</f>
        <v>#REF!</v>
      </c>
      <c r="HE9" t="e">
        <f>IF(#REF!,"AAAAAB+d79Q=",0)</f>
        <v>#REF!</v>
      </c>
      <c r="HF9" t="e">
        <f>AND(#REF!,"AAAAAB+d79U=")</f>
        <v>#REF!</v>
      </c>
      <c r="HG9" t="e">
        <f>AND(#REF!,"AAAAAB+d79Y=")</f>
        <v>#REF!</v>
      </c>
      <c r="HH9" t="e">
        <f>AND(#REF!,"AAAAAB+d79c=")</f>
        <v>#REF!</v>
      </c>
      <c r="HI9" t="e">
        <f>AND(#REF!,"AAAAAB+d79g=")</f>
        <v>#REF!</v>
      </c>
      <c r="HJ9" t="e">
        <f>AND(#REF!,"AAAAAB+d79k=")</f>
        <v>#REF!</v>
      </c>
      <c r="HK9" t="e">
        <f>IF(#REF!,"AAAAAB+d79o=",0)</f>
        <v>#REF!</v>
      </c>
      <c r="HL9" t="e">
        <f>AND(#REF!,"AAAAAB+d79s=")</f>
        <v>#REF!</v>
      </c>
      <c r="HM9" t="e">
        <f>AND(#REF!,"AAAAAB+d79w=")</f>
        <v>#REF!</v>
      </c>
      <c r="HN9" t="e">
        <f>AND(#REF!,"AAAAAB+d790=")</f>
        <v>#REF!</v>
      </c>
      <c r="HO9" t="e">
        <f>AND(#REF!,"AAAAAB+d794=")</f>
        <v>#REF!</v>
      </c>
      <c r="HP9" t="e">
        <f>AND(#REF!,"AAAAAB+d798=")</f>
        <v>#REF!</v>
      </c>
      <c r="HQ9" t="e">
        <f>IF(#REF!,"AAAAAB+d7+A=",0)</f>
        <v>#REF!</v>
      </c>
      <c r="HR9" t="e">
        <f>AND(#REF!,"AAAAAB+d7+E=")</f>
        <v>#REF!</v>
      </c>
      <c r="HS9" t="e">
        <f>AND(#REF!,"AAAAAB+d7+I=")</f>
        <v>#REF!</v>
      </c>
      <c r="HT9" t="e">
        <f>AND(#REF!,"AAAAAB+d7+M=")</f>
        <v>#REF!</v>
      </c>
      <c r="HU9" t="e">
        <f>AND(#REF!,"AAAAAB+d7+Q=")</f>
        <v>#REF!</v>
      </c>
      <c r="HV9" t="e">
        <f>AND(#REF!,"AAAAAB+d7+U=")</f>
        <v>#REF!</v>
      </c>
      <c r="HW9" t="e">
        <f>IF(#REF!,"AAAAAB+d7+Y=",0)</f>
        <v>#REF!</v>
      </c>
      <c r="HX9" t="e">
        <f>AND(#REF!,"AAAAAB+d7+c=")</f>
        <v>#REF!</v>
      </c>
      <c r="HY9" t="e">
        <f>AND(#REF!,"AAAAAB+d7+g=")</f>
        <v>#REF!</v>
      </c>
      <c r="HZ9" t="e">
        <f>AND(#REF!,"AAAAAB+d7+k=")</f>
        <v>#REF!</v>
      </c>
      <c r="IA9" t="e">
        <f>AND(#REF!,"AAAAAB+d7+o=")</f>
        <v>#REF!</v>
      </c>
      <c r="IB9" t="e">
        <f>AND(#REF!,"AAAAAB+d7+s=")</f>
        <v>#REF!</v>
      </c>
      <c r="IC9" t="e">
        <f>IF(#REF!,"AAAAAB+d7+w=",0)</f>
        <v>#REF!</v>
      </c>
      <c r="ID9" t="e">
        <f>AND(#REF!,"AAAAAB+d7+0=")</f>
        <v>#REF!</v>
      </c>
      <c r="IE9" t="e">
        <f>AND(#REF!,"AAAAAB+d7+4=")</f>
        <v>#REF!</v>
      </c>
      <c r="IF9" t="e">
        <f>AND(#REF!,"AAAAAB+d7+8=")</f>
        <v>#REF!</v>
      </c>
      <c r="IG9" t="e">
        <f>AND(#REF!,"AAAAAB+d7/A=")</f>
        <v>#REF!</v>
      </c>
      <c r="IH9" t="e">
        <f>AND(#REF!,"AAAAAB+d7/E=")</f>
        <v>#REF!</v>
      </c>
      <c r="II9" t="e">
        <f>IF(#REF!,"AAAAAB+d7/I=",0)</f>
        <v>#REF!</v>
      </c>
      <c r="IJ9" t="e">
        <f>AND(#REF!,"AAAAAB+d7/M=")</f>
        <v>#REF!</v>
      </c>
      <c r="IK9" t="e">
        <f>IF(#REF!,"AAAAAB+d7/Q=",0)</f>
        <v>#REF!</v>
      </c>
      <c r="IL9" t="e">
        <f>AND(#REF!,"AAAAAB+d7/U=")</f>
        <v>#REF!</v>
      </c>
      <c r="IM9" t="e">
        <f>IF(#REF!,"AAAAAB+d7/Y=",0)</f>
        <v>#REF!</v>
      </c>
      <c r="IN9" t="e">
        <f>AND(#REF!,"AAAAAB+d7/c=")</f>
        <v>#REF!</v>
      </c>
      <c r="IO9" t="e">
        <f>IF(#REF!,"AAAAAB+d7/g=",0)</f>
        <v>#REF!</v>
      </c>
      <c r="IP9" t="e">
        <f>AND(#REF!,"AAAAAB+d7/k=")</f>
        <v>#REF!</v>
      </c>
      <c r="IQ9" t="e">
        <f>IF(#REF!,"AAAAAB+d7/o=",0)</f>
        <v>#REF!</v>
      </c>
      <c r="IR9" t="e">
        <f>AND(#REF!,"AAAAAB+d7/s=")</f>
        <v>#REF!</v>
      </c>
      <c r="IS9" t="e">
        <f>IF(#REF!,"AAAAAB+d7/w=",0)</f>
        <v>#REF!</v>
      </c>
      <c r="IT9" t="e">
        <f>AND(#REF!,"AAAAAB+d7/0=")</f>
        <v>#REF!</v>
      </c>
      <c r="IU9" t="e">
        <f>IF(#REF!,"AAAAAB+d7/4=",0)</f>
        <v>#REF!</v>
      </c>
      <c r="IV9" t="e">
        <f>IF(#REF!,"AAAAAB+d7/8=",0)</f>
        <v>#REF!</v>
      </c>
    </row>
    <row r="10" spans="1:256">
      <c r="A10" t="e">
        <f>IF(#REF!,"AAAAAHKleAA=",0)</f>
        <v>#REF!</v>
      </c>
      <c r="B10" t="e">
        <f>IF(#REF!,"AAAAAHKleAE=",0)</f>
        <v>#REF!</v>
      </c>
      <c r="C10" t="e">
        <f>IF(#REF!,"AAAAAHKleAI=",0)</f>
        <v>#REF!</v>
      </c>
      <c r="D10" t="e">
        <f>IF(#REF!,"AAAAAHKleAM=",0)</f>
        <v>#REF!</v>
      </c>
      <c r="E10" t="e">
        <f>AND(#REF!,"AAAAAHKleAQ=")</f>
        <v>#REF!</v>
      </c>
      <c r="F10" t="e">
        <f>AND(#REF!,"AAAAAHKleAU=")</f>
        <v>#REF!</v>
      </c>
      <c r="G10" t="e">
        <f>AND(#REF!,"AAAAAHKleAY=")</f>
        <v>#REF!</v>
      </c>
      <c r="H10" t="e">
        <f>AND(#REF!,"AAAAAHKleAc=")</f>
        <v>#REF!</v>
      </c>
      <c r="I10" t="e">
        <f>AND(#REF!,"AAAAAHKleAg=")</f>
        <v>#REF!</v>
      </c>
      <c r="J10" t="e">
        <f>AND(#REF!,"AAAAAHKleAk=")</f>
        <v>#REF!</v>
      </c>
      <c r="K10" t="e">
        <f>AND(#REF!,"AAAAAHKleAo=")</f>
        <v>#REF!</v>
      </c>
      <c r="L10" t="e">
        <f>IF(#REF!,"AAAAAHKleAs=",0)</f>
        <v>#REF!</v>
      </c>
      <c r="M10" t="e">
        <f>AND(#REF!,"AAAAAHKleAw=")</f>
        <v>#REF!</v>
      </c>
      <c r="N10" t="e">
        <f>AND(#REF!,"AAAAAHKleA0=")</f>
        <v>#REF!</v>
      </c>
      <c r="O10" t="e">
        <f>AND(#REF!,"AAAAAHKleA4=")</f>
        <v>#REF!</v>
      </c>
      <c r="P10" t="e">
        <f>AND(#REF!,"AAAAAHKleA8=")</f>
        <v>#REF!</v>
      </c>
      <c r="Q10" t="e">
        <f>AND(#REF!,"AAAAAHKleBA=")</f>
        <v>#REF!</v>
      </c>
      <c r="R10" t="e">
        <f>AND(#REF!,"AAAAAHKleBE=")</f>
        <v>#REF!</v>
      </c>
      <c r="S10" t="e">
        <f>AND(#REF!,"AAAAAHKleBI=")</f>
        <v>#REF!</v>
      </c>
      <c r="T10" t="e">
        <f>IF(#REF!,"AAAAAHKleBM=",0)</f>
        <v>#REF!</v>
      </c>
      <c r="U10" t="e">
        <f>AND(#REF!,"AAAAAHKleBQ=")</f>
        <v>#REF!</v>
      </c>
      <c r="V10" t="e">
        <f>AND(#REF!,"AAAAAHKleBU=")</f>
        <v>#REF!</v>
      </c>
      <c r="W10" t="e">
        <f>AND(#REF!,"AAAAAHKleBY=")</f>
        <v>#REF!</v>
      </c>
      <c r="X10" t="e">
        <f>AND(#REF!,"AAAAAHKleBc=")</f>
        <v>#REF!</v>
      </c>
      <c r="Y10" t="e">
        <f>AND(#REF!,"AAAAAHKleBg=")</f>
        <v>#REF!</v>
      </c>
      <c r="Z10" t="e">
        <f>AND(#REF!,"AAAAAHKleBk=")</f>
        <v>#REF!</v>
      </c>
      <c r="AA10" t="e">
        <f>AND(#REF!,"AAAAAHKleBo=")</f>
        <v>#REF!</v>
      </c>
      <c r="AB10" t="e">
        <f>IF(#REF!,"AAAAAHKleBs=",0)</f>
        <v>#REF!</v>
      </c>
      <c r="AC10" t="e">
        <f>AND(#REF!,"AAAAAHKleBw=")</f>
        <v>#REF!</v>
      </c>
      <c r="AD10" t="e">
        <f>AND(#REF!,"AAAAAHKleB0=")</f>
        <v>#REF!</v>
      </c>
      <c r="AE10" t="e">
        <f>AND(#REF!,"AAAAAHKleB4=")</f>
        <v>#REF!</v>
      </c>
      <c r="AF10" t="e">
        <f>AND(#REF!,"AAAAAHKleB8=")</f>
        <v>#REF!</v>
      </c>
      <c r="AG10" t="e">
        <f>AND(#REF!,"AAAAAHKleCA=")</f>
        <v>#REF!</v>
      </c>
      <c r="AH10" t="e">
        <f>AND(#REF!,"AAAAAHKleCE=")</f>
        <v>#REF!</v>
      </c>
      <c r="AI10" t="e">
        <f>AND(#REF!,"AAAAAHKleCI=")</f>
        <v>#REF!</v>
      </c>
      <c r="AJ10" t="e">
        <f>IF(#REF!,"AAAAAHKleCM=",0)</f>
        <v>#REF!</v>
      </c>
      <c r="AK10" t="e">
        <f>AND(#REF!,"AAAAAHKleCQ=")</f>
        <v>#REF!</v>
      </c>
      <c r="AL10" t="e">
        <f>IF(#REF!,"AAAAAHKleCU=",0)</f>
        <v>#REF!</v>
      </c>
      <c r="AM10" t="e">
        <f>AND(#REF!,"AAAAAHKleCY=")</f>
        <v>#REF!</v>
      </c>
      <c r="AN10" t="e">
        <f>IF(#REF!,"AAAAAHKleCc=",0)</f>
        <v>#REF!</v>
      </c>
      <c r="AO10" t="e">
        <f>AND(#REF!,"AAAAAHKleCg=")</f>
        <v>#REF!</v>
      </c>
      <c r="AP10" t="e">
        <f>IF(#REF!,"AAAAAHKleCk=",0)</f>
        <v>#REF!</v>
      </c>
      <c r="AQ10" t="e">
        <f>AND(#REF!,"AAAAAHKleCo=")</f>
        <v>#REF!</v>
      </c>
      <c r="AR10" t="e">
        <f>IF(#REF!,"AAAAAHKleCs=",0)</f>
        <v>#REF!</v>
      </c>
      <c r="AS10" t="e">
        <f>AND(#REF!,"AAAAAHKleCw=")</f>
        <v>#REF!</v>
      </c>
      <c r="AT10" t="e">
        <f>IF(#REF!,"AAAAAHKleC0=",0)</f>
        <v>#REF!</v>
      </c>
      <c r="AU10" t="e">
        <f>AND(#REF!,"AAAAAHKleC4=")</f>
        <v>#REF!</v>
      </c>
      <c r="AV10" t="e">
        <f>IF(#REF!,"AAAAAHKleC8=",0)</f>
        <v>#REF!</v>
      </c>
      <c r="AW10" t="e">
        <f>IF(#REF!,"AAAAAHKleDA=",0)</f>
        <v>#REF!</v>
      </c>
      <c r="AX10" t="e">
        <f>IF(#REF!,"AAAAAHKleDE=",0)</f>
        <v>#REF!</v>
      </c>
      <c r="AY10" t="e">
        <f>IF(#REF!,"AAAAAHKleDI=",0)</f>
        <v>#REF!</v>
      </c>
      <c r="AZ10" t="e">
        <f>IF(#REF!,"AAAAAHKleDM=",0)</f>
        <v>#REF!</v>
      </c>
      <c r="BA10" t="e">
        <f>IF(#REF!,"AAAAAHKleDQ=",0)</f>
        <v>#REF!</v>
      </c>
      <c r="BB10" t="e">
        <f>IF(#REF!,"AAAAAHKleDU=",0)</f>
        <v>#REF!</v>
      </c>
      <c r="BC10" t="e">
        <f>IF(#REF!,"AAAAAHKleDY=",0)</f>
        <v>#REF!</v>
      </c>
      <c r="BD10" t="e">
        <f>AND(#REF!,"AAAAAHKleDc=")</f>
        <v>#REF!</v>
      </c>
      <c r="BE10" t="e">
        <f>AND(#REF!,"AAAAAHKleDg=")</f>
        <v>#REF!</v>
      </c>
      <c r="BF10" t="e">
        <f>AND(#REF!,"AAAAAHKleDk=")</f>
        <v>#REF!</v>
      </c>
      <c r="BG10" t="e">
        <f>AND(#REF!,"AAAAAHKleDo=")</f>
        <v>#REF!</v>
      </c>
      <c r="BH10" t="e">
        <f>AND(#REF!,"AAAAAHKleDs=")</f>
        <v>#REF!</v>
      </c>
      <c r="BI10" t="e">
        <f>AND(#REF!,"AAAAAHKleDw=")</f>
        <v>#REF!</v>
      </c>
      <c r="BJ10" t="e">
        <f>IF(#REF!,"AAAAAHKleD0=",0)</f>
        <v>#REF!</v>
      </c>
      <c r="BK10" t="e">
        <f>AND(#REF!,"AAAAAHKleD4=")</f>
        <v>#REF!</v>
      </c>
      <c r="BL10" t="e">
        <f>AND(#REF!,"AAAAAHKleD8=")</f>
        <v>#REF!</v>
      </c>
      <c r="BM10" t="e">
        <f>AND(#REF!,"AAAAAHKleEA=")</f>
        <v>#REF!</v>
      </c>
      <c r="BN10" t="e">
        <f>AND(#REF!,"AAAAAHKleEE=")</f>
        <v>#REF!</v>
      </c>
      <c r="BO10" t="e">
        <f>AND(#REF!,"AAAAAHKleEI=")</f>
        <v>#REF!</v>
      </c>
      <c r="BP10" t="e">
        <f>AND(#REF!,"AAAAAHKleEM=")</f>
        <v>#REF!</v>
      </c>
      <c r="BQ10" t="e">
        <f>IF(#REF!,"AAAAAHKleEQ=",0)</f>
        <v>#REF!</v>
      </c>
      <c r="BR10" t="e">
        <f>AND(#REF!,"AAAAAHKleEU=")</f>
        <v>#REF!</v>
      </c>
      <c r="BS10" t="e">
        <f>AND(#REF!,"AAAAAHKleEY=")</f>
        <v>#REF!</v>
      </c>
      <c r="BT10" t="e">
        <f>AND(#REF!,"AAAAAHKleEc=")</f>
        <v>#REF!</v>
      </c>
      <c r="BU10" t="e">
        <f>AND(#REF!,"AAAAAHKleEg=")</f>
        <v>#REF!</v>
      </c>
      <c r="BV10" t="e">
        <f>AND(#REF!,"AAAAAHKleEk=")</f>
        <v>#REF!</v>
      </c>
      <c r="BW10" t="e">
        <f>AND(#REF!,"AAAAAHKleEo=")</f>
        <v>#REF!</v>
      </c>
      <c r="BX10" t="e">
        <f>IF(#REF!,"AAAAAHKleEs=",0)</f>
        <v>#REF!</v>
      </c>
      <c r="BY10" t="e">
        <f>AND(#REF!,"AAAAAHKleEw=")</f>
        <v>#REF!</v>
      </c>
      <c r="BZ10" t="e">
        <f>AND(#REF!,"AAAAAHKleE0=")</f>
        <v>#REF!</v>
      </c>
      <c r="CA10" t="e">
        <f>AND(#REF!,"AAAAAHKleE4=")</f>
        <v>#REF!</v>
      </c>
      <c r="CB10" t="e">
        <f>AND(#REF!,"AAAAAHKleE8=")</f>
        <v>#REF!</v>
      </c>
      <c r="CC10" t="e">
        <f>AND(#REF!,"AAAAAHKleFA=")</f>
        <v>#REF!</v>
      </c>
      <c r="CD10" t="e">
        <f>AND(#REF!,"AAAAAHKleFE=")</f>
        <v>#REF!</v>
      </c>
      <c r="CE10" t="e">
        <f>IF(#REF!,"AAAAAHKleFI=",0)</f>
        <v>#REF!</v>
      </c>
      <c r="CF10" t="e">
        <f>AND(#REF!,"AAAAAHKleFM=")</f>
        <v>#REF!</v>
      </c>
      <c r="CG10" t="e">
        <f>AND(#REF!,"AAAAAHKleFQ=")</f>
        <v>#REF!</v>
      </c>
      <c r="CH10" t="e">
        <f>AND(#REF!,"AAAAAHKleFU=")</f>
        <v>#REF!</v>
      </c>
      <c r="CI10" t="e">
        <f>AND(#REF!,"AAAAAHKleFY=")</f>
        <v>#REF!</v>
      </c>
      <c r="CJ10" t="e">
        <f>AND(#REF!,"AAAAAHKleFc=")</f>
        <v>#REF!</v>
      </c>
      <c r="CK10" t="e">
        <f>AND(#REF!,"AAAAAHKleFg=")</f>
        <v>#REF!</v>
      </c>
      <c r="CL10" t="e">
        <f>IF(#REF!,"AAAAAHKleFk=",0)</f>
        <v>#REF!</v>
      </c>
      <c r="CM10" t="e">
        <f>AND(#REF!,"AAAAAHKleFo=")</f>
        <v>#REF!</v>
      </c>
      <c r="CN10" t="e">
        <f>IF(#REF!,"AAAAAHKleFs=",0)</f>
        <v>#REF!</v>
      </c>
      <c r="CO10" t="e">
        <f>AND(#REF!,"AAAAAHKleFw=")</f>
        <v>#REF!</v>
      </c>
      <c r="CP10" t="e">
        <f>IF(#REF!,"AAAAAHKleF0=",0)</f>
        <v>#REF!</v>
      </c>
      <c r="CQ10" t="e">
        <f>AND(#REF!,"AAAAAHKleF4=")</f>
        <v>#REF!</v>
      </c>
      <c r="CR10" t="e">
        <f>IF(#REF!,"AAAAAHKleF8=",0)</f>
        <v>#REF!</v>
      </c>
      <c r="CS10" t="e">
        <f>AND(#REF!,"AAAAAHKleGA=")</f>
        <v>#REF!</v>
      </c>
      <c r="CT10" t="e">
        <f>IF(#REF!,"AAAAAHKleGE=",0)</f>
        <v>#REF!</v>
      </c>
      <c r="CU10" t="e">
        <f>AND(#REF!,"AAAAAHKleGI=")</f>
        <v>#REF!</v>
      </c>
      <c r="CV10" t="e">
        <f>IF(#REF!,"AAAAAHKleGM=",0)</f>
        <v>#REF!</v>
      </c>
      <c r="CW10" t="e">
        <f>IF(#REF!,"AAAAAHKleGQ=",0)</f>
        <v>#REF!</v>
      </c>
      <c r="CX10" t="e">
        <f>IF(#REF!,"AAAAAHKleGU=",0)</f>
        <v>#REF!</v>
      </c>
      <c r="CY10" t="e">
        <f>IF(#REF!,"AAAAAHKleGY=",0)</f>
        <v>#REF!</v>
      </c>
      <c r="CZ10" t="e">
        <f>IF(#REF!,"AAAAAHKleGc=",0)</f>
        <v>#REF!</v>
      </c>
      <c r="DA10" t="e">
        <f>IF(#REF!,"AAAAAHKleGg=",0)</f>
        <v>#REF!</v>
      </c>
      <c r="DB10" t="e">
        <f>IF(#REF!,"AAAAAHKleGk=",0)</f>
        <v>#REF!</v>
      </c>
      <c r="DC10" t="e">
        <f>AND(#REF!,"AAAAAHKleGo=")</f>
        <v>#REF!</v>
      </c>
      <c r="DD10" t="e">
        <f>AND(#REF!,"AAAAAHKleGs=")</f>
        <v>#REF!</v>
      </c>
      <c r="DE10" t="e">
        <f>AND(#REF!,"AAAAAHKleGw=")</f>
        <v>#REF!</v>
      </c>
      <c r="DF10" t="e">
        <f>AND(#REF!,"AAAAAHKleG0=")</f>
        <v>#REF!</v>
      </c>
      <c r="DG10" t="e">
        <f>AND(#REF!,"AAAAAHKleG4=")</f>
        <v>#REF!</v>
      </c>
      <c r="DH10" t="e">
        <f>AND(#REF!,"AAAAAHKleG8=")</f>
        <v>#REF!</v>
      </c>
      <c r="DI10" t="e">
        <f>AND(#REF!,"AAAAAHKleHA=")</f>
        <v>#REF!</v>
      </c>
      <c r="DJ10" t="e">
        <f>AND(#REF!,"AAAAAHKleHE=")</f>
        <v>#REF!</v>
      </c>
      <c r="DK10" t="e">
        <f>IF(#REF!,"AAAAAHKleHI=",0)</f>
        <v>#REF!</v>
      </c>
      <c r="DL10" t="e">
        <f>AND(#REF!,"AAAAAHKleHM=")</f>
        <v>#REF!</v>
      </c>
      <c r="DM10" t="e">
        <f>AND(#REF!,"AAAAAHKleHQ=")</f>
        <v>#REF!</v>
      </c>
      <c r="DN10" t="e">
        <f>AND(#REF!,"AAAAAHKleHU=")</f>
        <v>#REF!</v>
      </c>
      <c r="DO10" t="e">
        <f>AND(#REF!,"AAAAAHKleHY=")</f>
        <v>#REF!</v>
      </c>
      <c r="DP10" t="e">
        <f>AND(#REF!,"AAAAAHKleHc=")</f>
        <v>#REF!</v>
      </c>
      <c r="DQ10" t="e">
        <f>AND(#REF!,"AAAAAHKleHg=")</f>
        <v>#REF!</v>
      </c>
      <c r="DR10" t="e">
        <f>AND(#REF!,"AAAAAHKleHk=")</f>
        <v>#REF!</v>
      </c>
      <c r="DS10" t="e">
        <f>AND(#REF!,"AAAAAHKleHo=")</f>
        <v>#REF!</v>
      </c>
      <c r="DT10" t="e">
        <f>IF(#REF!,"AAAAAHKleHs=",0)</f>
        <v>#REF!</v>
      </c>
      <c r="DU10" t="e">
        <f>AND(#REF!,"AAAAAHKleHw=")</f>
        <v>#REF!</v>
      </c>
      <c r="DV10" t="e">
        <f>AND(#REF!,"AAAAAHKleH0=")</f>
        <v>#REF!</v>
      </c>
      <c r="DW10" t="e">
        <f>AND(#REF!,"AAAAAHKleH4=")</f>
        <v>#REF!</v>
      </c>
      <c r="DX10" t="e">
        <f>AND(#REF!,"AAAAAHKleH8=")</f>
        <v>#REF!</v>
      </c>
      <c r="DY10" t="e">
        <f>AND(#REF!,"AAAAAHKleIA=")</f>
        <v>#REF!</v>
      </c>
      <c r="DZ10" t="e">
        <f>AND(#REF!,"AAAAAHKleIE=")</f>
        <v>#REF!</v>
      </c>
      <c r="EA10" t="e">
        <f>AND(#REF!,"AAAAAHKleII=")</f>
        <v>#REF!</v>
      </c>
      <c r="EB10" t="e">
        <f>AND(#REF!,"AAAAAHKleIM=")</f>
        <v>#REF!</v>
      </c>
      <c r="EC10" t="e">
        <f>IF(#REF!,"AAAAAHKleIQ=",0)</f>
        <v>#REF!</v>
      </c>
      <c r="ED10" t="e">
        <f>AND(#REF!,"AAAAAHKleIU=")</f>
        <v>#REF!</v>
      </c>
      <c r="EE10" t="e">
        <f>AND(#REF!,"AAAAAHKleIY=")</f>
        <v>#REF!</v>
      </c>
      <c r="EF10" t="e">
        <f>AND(#REF!,"AAAAAHKleIc=")</f>
        <v>#REF!</v>
      </c>
      <c r="EG10" t="e">
        <f>AND(#REF!,"AAAAAHKleIg=")</f>
        <v>#REF!</v>
      </c>
      <c r="EH10" t="e">
        <f>AND(#REF!,"AAAAAHKleIk=")</f>
        <v>#REF!</v>
      </c>
      <c r="EI10" t="e">
        <f>AND(#REF!,"AAAAAHKleIo=")</f>
        <v>#REF!</v>
      </c>
      <c r="EJ10" t="e">
        <f>AND(#REF!,"AAAAAHKleIs=")</f>
        <v>#REF!</v>
      </c>
      <c r="EK10" t="e">
        <f>AND(#REF!,"AAAAAHKleIw=")</f>
        <v>#REF!</v>
      </c>
      <c r="EL10" t="e">
        <f>IF(#REF!,"AAAAAHKleI0=",0)</f>
        <v>#REF!</v>
      </c>
      <c r="EM10" t="e">
        <f>AND(#REF!,"AAAAAHKleI4=")</f>
        <v>#REF!</v>
      </c>
      <c r="EN10" t="e">
        <f>IF(#REF!,"AAAAAHKleI8=",0)</f>
        <v>#REF!</v>
      </c>
      <c r="EO10" t="e">
        <f>AND(#REF!,"AAAAAHKleJA=")</f>
        <v>#REF!</v>
      </c>
      <c r="EP10" t="e">
        <f>IF(#REF!,"AAAAAHKleJE=",0)</f>
        <v>#REF!</v>
      </c>
      <c r="EQ10" t="e">
        <f>AND(#REF!,"AAAAAHKleJI=")</f>
        <v>#REF!</v>
      </c>
      <c r="ER10" t="e">
        <f>IF(#REF!,"AAAAAHKleJM=",0)</f>
        <v>#REF!</v>
      </c>
      <c r="ES10" t="e">
        <f>AND(#REF!,"AAAAAHKleJQ=")</f>
        <v>#REF!</v>
      </c>
      <c r="ET10" t="e">
        <f>IF(#REF!,"AAAAAHKleJU=",0)</f>
        <v>#REF!</v>
      </c>
      <c r="EU10" t="e">
        <f>AND(#REF!,"AAAAAHKleJY=")</f>
        <v>#REF!</v>
      </c>
      <c r="EV10" t="e">
        <f>IF(#REF!,"AAAAAHKleJc=",0)</f>
        <v>#REF!</v>
      </c>
      <c r="EW10" t="e">
        <f>IF(#REF!,"AAAAAHKleJg=",0)</f>
        <v>#REF!</v>
      </c>
      <c r="EX10" t="e">
        <f>IF(#REF!,"AAAAAHKleJk=",0)</f>
        <v>#REF!</v>
      </c>
      <c r="EY10" t="e">
        <f>IF(#REF!,"AAAAAHKleJo=",0)</f>
        <v>#REF!</v>
      </c>
      <c r="EZ10" t="e">
        <f>IF(#REF!,"AAAAAHKleJs=",0)</f>
        <v>#REF!</v>
      </c>
      <c r="FA10" t="e">
        <f>IF(#REF!,"AAAAAHKleJw=",0)</f>
        <v>#REF!</v>
      </c>
      <c r="FB10" t="e">
        <f>IF(#REF!,"AAAAAHKleJ0=",0)</f>
        <v>#REF!</v>
      </c>
      <c r="FC10" t="e">
        <f>IF(#REF!,"AAAAAHKleJ4=",0)</f>
        <v>#REF!</v>
      </c>
      <c r="FD10" t="e">
        <f>IF(#REF!,"AAAAAHKleJ8=",0)</f>
        <v>#REF!</v>
      </c>
      <c r="FE10" t="e">
        <f>AND(#REF!,"AAAAAHKleKA=")</f>
        <v>#REF!</v>
      </c>
      <c r="FF10" t="e">
        <f>AND(#REF!,"AAAAAHKleKE=")</f>
        <v>#REF!</v>
      </c>
      <c r="FG10" t="e">
        <f>AND(#REF!,"AAAAAHKleKI=")</f>
        <v>#REF!</v>
      </c>
      <c r="FH10" t="e">
        <f>AND(#REF!,"AAAAAHKleKM=")</f>
        <v>#REF!</v>
      </c>
      <c r="FI10" t="e">
        <f>AND(#REF!,"AAAAAHKleKQ=")</f>
        <v>#REF!</v>
      </c>
      <c r="FJ10" t="e">
        <f>IF(#REF!,"AAAAAHKleKU=",0)</f>
        <v>#REF!</v>
      </c>
      <c r="FK10" t="e">
        <f>AND(#REF!,"AAAAAHKleKY=")</f>
        <v>#REF!</v>
      </c>
      <c r="FL10" t="e">
        <f>AND(#REF!,"AAAAAHKleKc=")</f>
        <v>#REF!</v>
      </c>
      <c r="FM10" t="e">
        <f>AND(#REF!,"AAAAAHKleKg=")</f>
        <v>#REF!</v>
      </c>
      <c r="FN10" t="e">
        <f>AND(#REF!,"AAAAAHKleKk=")</f>
        <v>#REF!</v>
      </c>
      <c r="FO10" t="e">
        <f>AND(#REF!,"AAAAAHKleKo=")</f>
        <v>#REF!</v>
      </c>
      <c r="FP10" t="e">
        <f>IF(#REF!,"AAAAAHKleKs=",0)</f>
        <v>#REF!</v>
      </c>
      <c r="FQ10" t="e">
        <f>AND(#REF!,"AAAAAHKleKw=")</f>
        <v>#REF!</v>
      </c>
      <c r="FR10" t="e">
        <f>AND(#REF!,"AAAAAHKleK0=")</f>
        <v>#REF!</v>
      </c>
      <c r="FS10" t="e">
        <f>AND(#REF!,"AAAAAHKleK4=")</f>
        <v>#REF!</v>
      </c>
      <c r="FT10" t="e">
        <f>AND(#REF!,"AAAAAHKleK8=")</f>
        <v>#REF!</v>
      </c>
      <c r="FU10" t="e">
        <f>AND(#REF!,"AAAAAHKleLA=")</f>
        <v>#REF!</v>
      </c>
      <c r="FV10" t="e">
        <f>IF(#REF!,"AAAAAHKleLE=",0)</f>
        <v>#REF!</v>
      </c>
      <c r="FW10" t="e">
        <f>AND(#REF!,"AAAAAHKleLI=")</f>
        <v>#REF!</v>
      </c>
      <c r="FX10" t="e">
        <f>AND(#REF!,"AAAAAHKleLM=")</f>
        <v>#REF!</v>
      </c>
      <c r="FY10" t="e">
        <f>AND(#REF!,"AAAAAHKleLQ=")</f>
        <v>#REF!</v>
      </c>
      <c r="FZ10" t="e">
        <f>AND(#REF!,"AAAAAHKleLU=")</f>
        <v>#REF!</v>
      </c>
      <c r="GA10" t="e">
        <f>AND(#REF!,"AAAAAHKleLY=")</f>
        <v>#REF!</v>
      </c>
      <c r="GB10" t="e">
        <f>IF(#REF!,"AAAAAHKleLc=",0)</f>
        <v>#REF!</v>
      </c>
      <c r="GC10" t="e">
        <f>AND(#REF!,"AAAAAHKleLg=")</f>
        <v>#REF!</v>
      </c>
      <c r="GD10" t="e">
        <f>AND(#REF!,"AAAAAHKleLk=")</f>
        <v>#REF!</v>
      </c>
      <c r="GE10" t="e">
        <f>AND(#REF!,"AAAAAHKleLo=")</f>
        <v>#REF!</v>
      </c>
      <c r="GF10" t="e">
        <f>AND(#REF!,"AAAAAHKleLs=")</f>
        <v>#REF!</v>
      </c>
      <c r="GG10" t="e">
        <f>AND(#REF!,"AAAAAHKleLw=")</f>
        <v>#REF!</v>
      </c>
      <c r="GH10" t="e">
        <f>IF(#REF!,"AAAAAHKleL0=",0)</f>
        <v>#REF!</v>
      </c>
      <c r="GI10" t="e">
        <f>AND(#REF!,"AAAAAHKleL4=")</f>
        <v>#REF!</v>
      </c>
      <c r="GJ10" t="e">
        <f>AND(#REF!,"AAAAAHKleL8=")</f>
        <v>#REF!</v>
      </c>
      <c r="GK10" t="e">
        <f>AND(#REF!,"AAAAAHKleMA=")</f>
        <v>#REF!</v>
      </c>
      <c r="GL10" t="e">
        <f>AND(#REF!,"AAAAAHKleME=")</f>
        <v>#REF!</v>
      </c>
      <c r="GM10" t="e">
        <f>AND(#REF!,"AAAAAHKleMI=")</f>
        <v>#REF!</v>
      </c>
      <c r="GN10" t="e">
        <f>IF(#REF!,"AAAAAHKleMM=",0)</f>
        <v>#REF!</v>
      </c>
      <c r="GO10" t="e">
        <f>AND(#REF!,"AAAAAHKleMQ=")</f>
        <v>#REF!</v>
      </c>
      <c r="GP10" t="e">
        <f>AND(#REF!,"AAAAAHKleMU=")</f>
        <v>#REF!</v>
      </c>
      <c r="GQ10" t="e">
        <f>AND(#REF!,"AAAAAHKleMY=")</f>
        <v>#REF!</v>
      </c>
      <c r="GR10" t="e">
        <f>AND(#REF!,"AAAAAHKleMc=")</f>
        <v>#REF!</v>
      </c>
      <c r="GS10" t="e">
        <f>AND(#REF!,"AAAAAHKleMg=")</f>
        <v>#REF!</v>
      </c>
      <c r="GT10" t="e">
        <f>IF(#REF!,"AAAAAHKleMk=",0)</f>
        <v>#REF!</v>
      </c>
      <c r="GU10" t="e">
        <f>AND(#REF!,"AAAAAHKleMo=")</f>
        <v>#REF!</v>
      </c>
      <c r="GV10" t="e">
        <f>AND(#REF!,"AAAAAHKleMs=")</f>
        <v>#REF!</v>
      </c>
      <c r="GW10" t="e">
        <f>AND(#REF!,"AAAAAHKleMw=")</f>
        <v>#REF!</v>
      </c>
      <c r="GX10" t="e">
        <f>AND(#REF!,"AAAAAHKleM0=")</f>
        <v>#REF!</v>
      </c>
      <c r="GY10" t="e">
        <f>AND(#REF!,"AAAAAHKleM4=")</f>
        <v>#REF!</v>
      </c>
      <c r="GZ10" t="e">
        <f>IF(#REF!,"AAAAAHKleM8=",0)</f>
        <v>#REF!</v>
      </c>
      <c r="HA10" t="e">
        <f>AND(#REF!,"AAAAAHKleNA=")</f>
        <v>#REF!</v>
      </c>
      <c r="HB10" t="e">
        <f>IF(#REF!,"AAAAAHKleNE=",0)</f>
        <v>#REF!</v>
      </c>
      <c r="HC10" t="e">
        <f>AND(#REF!,"AAAAAHKleNI=")</f>
        <v>#REF!</v>
      </c>
      <c r="HD10" t="e">
        <f>IF(#REF!,"AAAAAHKleNM=",0)</f>
        <v>#REF!</v>
      </c>
      <c r="HE10" t="e">
        <f>AND(#REF!,"AAAAAHKleNQ=")</f>
        <v>#REF!</v>
      </c>
      <c r="HF10" t="e">
        <f>IF(#REF!,"AAAAAHKleNU=",0)</f>
        <v>#REF!</v>
      </c>
      <c r="HG10" t="e">
        <f>AND(#REF!,"AAAAAHKleNY=")</f>
        <v>#REF!</v>
      </c>
      <c r="HH10" t="e">
        <f>IF(#REF!,"AAAAAHKleNc=",0)</f>
        <v>#REF!</v>
      </c>
      <c r="HI10" t="e">
        <f>AND(#REF!,"AAAAAHKleNg=")</f>
        <v>#REF!</v>
      </c>
      <c r="HJ10" t="e">
        <f>IF(#REF!,"AAAAAHKleNk=",0)</f>
        <v>#REF!</v>
      </c>
      <c r="HK10" t="e">
        <f>AND(#REF!,"AAAAAHKleNo=")</f>
        <v>#REF!</v>
      </c>
      <c r="HL10" t="e">
        <f>IF(#REF!,"AAAAAHKleNs=",0)</f>
        <v>#REF!</v>
      </c>
      <c r="HM10" t="e">
        <f>AND(#REF!,"AAAAAHKleNw=")</f>
        <v>#REF!</v>
      </c>
      <c r="HN10" t="e">
        <f>IF(#REF!,"AAAAAHKleN0=",0)</f>
        <v>#REF!</v>
      </c>
      <c r="HO10" t="e">
        <f>IF(#REF!,"AAAAAHKleN4=",0)</f>
        <v>#REF!</v>
      </c>
      <c r="HP10" t="e">
        <f>IF(#REF!,"AAAAAHKleN8=",0)</f>
        <v>#REF!</v>
      </c>
      <c r="HQ10" t="e">
        <f>IF(#REF!,"AAAAAHKleOA=",0)</f>
        <v>#REF!</v>
      </c>
      <c r="HR10" t="e">
        <f>IF(#REF!,"AAAAAHKleOE=",0)</f>
        <v>#REF!</v>
      </c>
      <c r="HS10" t="e">
        <f>IF(#REF!,"AAAAAHKleOI=",0)</f>
        <v>#REF!</v>
      </c>
      <c r="HT10" t="e">
        <f>AND(#REF!,"AAAAAHKleOM=")</f>
        <v>#REF!</v>
      </c>
      <c r="HU10" t="e">
        <f>AND(#REF!,"AAAAAHKleOQ=")</f>
        <v>#REF!</v>
      </c>
      <c r="HV10" t="e">
        <f>AND(#REF!,"AAAAAHKleOU=")</f>
        <v>#REF!</v>
      </c>
      <c r="HW10" t="e">
        <f>IF(#REF!,"AAAAAHKleOY=",0)</f>
        <v>#REF!</v>
      </c>
      <c r="HX10" t="e">
        <f>AND(#REF!,"AAAAAHKleOc=")</f>
        <v>#REF!</v>
      </c>
      <c r="HY10" t="e">
        <f>AND(#REF!,"AAAAAHKleOg=")</f>
        <v>#REF!</v>
      </c>
      <c r="HZ10" t="e">
        <f>AND(#REF!,"AAAAAHKleOk=")</f>
        <v>#REF!</v>
      </c>
      <c r="IA10" t="e">
        <f>IF(#REF!,"AAAAAHKleOo=",0)</f>
        <v>#REF!</v>
      </c>
      <c r="IB10" t="e">
        <f>AND(#REF!,"AAAAAHKleOs=")</f>
        <v>#REF!</v>
      </c>
      <c r="IC10" t="e">
        <f>AND(#REF!,"AAAAAHKleOw=")</f>
        <v>#REF!</v>
      </c>
      <c r="ID10" t="e">
        <f>AND(#REF!,"AAAAAHKleO0=")</f>
        <v>#REF!</v>
      </c>
      <c r="IE10" t="e">
        <f>IF(#REF!,"AAAAAHKleO4=",0)</f>
        <v>#REF!</v>
      </c>
      <c r="IF10" t="e">
        <f>AND(#REF!,"AAAAAHKleO8=")</f>
        <v>#REF!</v>
      </c>
      <c r="IG10" t="e">
        <f>AND(#REF!,"AAAAAHKlePA=")</f>
        <v>#REF!</v>
      </c>
      <c r="IH10" t="e">
        <f>AND(#REF!,"AAAAAHKlePE=")</f>
        <v>#REF!</v>
      </c>
      <c r="II10" t="e">
        <f>IF(#REF!,"AAAAAHKlePI=",0)</f>
        <v>#REF!</v>
      </c>
      <c r="IJ10" t="e">
        <f>AND(#REF!,"AAAAAHKlePM=")</f>
        <v>#REF!</v>
      </c>
      <c r="IK10" t="e">
        <f>AND(#REF!,"AAAAAHKlePQ=")</f>
        <v>#REF!</v>
      </c>
      <c r="IL10" t="e">
        <f>AND(#REF!,"AAAAAHKlePU=")</f>
        <v>#REF!</v>
      </c>
      <c r="IM10" t="e">
        <f>IF(#REF!,"AAAAAHKlePY=",0)</f>
        <v>#REF!</v>
      </c>
      <c r="IN10" t="e">
        <f>AND(#REF!,"AAAAAHKlePc=")</f>
        <v>#REF!</v>
      </c>
      <c r="IO10" t="e">
        <f>AND(#REF!,"AAAAAHKlePg=")</f>
        <v>#REF!</v>
      </c>
      <c r="IP10" t="e">
        <f>AND(#REF!,"AAAAAHKlePk=")</f>
        <v>#REF!</v>
      </c>
      <c r="IQ10" t="e">
        <f>IF(#REF!,"AAAAAHKlePo=",0)</f>
        <v>#REF!</v>
      </c>
      <c r="IR10" t="e">
        <f>AND(#REF!,"AAAAAHKlePs=")</f>
        <v>#REF!</v>
      </c>
      <c r="IS10" t="e">
        <f>AND(#REF!,"AAAAAHKlePw=")</f>
        <v>#REF!</v>
      </c>
      <c r="IT10" t="e">
        <f>AND(#REF!,"AAAAAHKleP0=")</f>
        <v>#REF!</v>
      </c>
      <c r="IU10" t="e">
        <f>IF(#REF!,"AAAAAHKleP4=",0)</f>
        <v>#REF!</v>
      </c>
      <c r="IV10" t="e">
        <f>AND(#REF!,"AAAAAHKleP8=")</f>
        <v>#REF!</v>
      </c>
    </row>
    <row r="11" spans="1:256">
      <c r="A11" t="e">
        <f>AND(#REF!,"AAAAAFeP+gA=")</f>
        <v>#REF!</v>
      </c>
      <c r="B11" t="e">
        <f>AND(#REF!,"AAAAAFeP+gE=")</f>
        <v>#REF!</v>
      </c>
      <c r="C11" t="e">
        <f>IF(#REF!,"AAAAAFeP+gI=",0)</f>
        <v>#REF!</v>
      </c>
      <c r="D11" t="e">
        <f>AND(#REF!,"AAAAAFeP+gM=")</f>
        <v>#REF!</v>
      </c>
      <c r="E11" t="e">
        <f>AND(#REF!,"AAAAAFeP+gQ=")</f>
        <v>#REF!</v>
      </c>
      <c r="F11" t="e">
        <f>AND(#REF!,"AAAAAFeP+gU=")</f>
        <v>#REF!</v>
      </c>
      <c r="G11" t="e">
        <f>IF(#REF!,"AAAAAFeP+gY=",0)</f>
        <v>#REF!</v>
      </c>
      <c r="H11" t="e">
        <f>AND(#REF!,"AAAAAFeP+gc=")</f>
        <v>#REF!</v>
      </c>
      <c r="I11" t="e">
        <f>AND(#REF!,"AAAAAFeP+gg=")</f>
        <v>#REF!</v>
      </c>
      <c r="J11" t="e">
        <f>AND(#REF!,"AAAAAFeP+gk=")</f>
        <v>#REF!</v>
      </c>
      <c r="K11" t="e">
        <f>IF(#REF!,"AAAAAFeP+go=",0)</f>
        <v>#REF!</v>
      </c>
      <c r="L11" t="e">
        <f>AND(#REF!,"AAAAAFeP+gs=")</f>
        <v>#REF!</v>
      </c>
      <c r="M11" t="e">
        <f>AND(#REF!,"AAAAAFeP+gw=")</f>
        <v>#REF!</v>
      </c>
      <c r="N11" t="e">
        <f>AND(#REF!,"AAAAAFeP+g0=")</f>
        <v>#REF!</v>
      </c>
      <c r="O11" t="e">
        <f>IF(#REF!,"AAAAAFeP+g4=",0)</f>
        <v>#REF!</v>
      </c>
      <c r="P11" t="e">
        <f>AND(#REF!,"AAAAAFeP+g8=")</f>
        <v>#REF!</v>
      </c>
      <c r="Q11" t="e">
        <f>AND(#REF!,"AAAAAFeP+hA=")</f>
        <v>#REF!</v>
      </c>
      <c r="R11" t="e">
        <f>AND(#REF!,"AAAAAFeP+hE=")</f>
        <v>#REF!</v>
      </c>
      <c r="S11" t="e">
        <f>IF(#REF!,"AAAAAFeP+hI=",0)</f>
        <v>#REF!</v>
      </c>
      <c r="T11" t="e">
        <f>AND(#REF!,"AAAAAFeP+hM=")</f>
        <v>#REF!</v>
      </c>
      <c r="U11" t="e">
        <f>AND(#REF!,"AAAAAFeP+hQ=")</f>
        <v>#REF!</v>
      </c>
      <c r="V11" t="e">
        <f>AND(#REF!,"AAAAAFeP+hU=")</f>
        <v>#REF!</v>
      </c>
      <c r="W11" t="e">
        <f>IF(#REF!,"AAAAAFeP+hY=",0)</f>
        <v>#REF!</v>
      </c>
      <c r="X11" t="e">
        <f>AND(#REF!,"AAAAAFeP+hc=")</f>
        <v>#REF!</v>
      </c>
      <c r="Y11" t="e">
        <f>AND(#REF!,"AAAAAFeP+hg=")</f>
        <v>#REF!</v>
      </c>
      <c r="Z11" t="e">
        <f>AND(#REF!,"AAAAAFeP+hk=")</f>
        <v>#REF!</v>
      </c>
      <c r="AA11" t="e">
        <f>IF(#REF!,"AAAAAFeP+ho=",0)</f>
        <v>#REF!</v>
      </c>
      <c r="AB11" t="e">
        <f>AND(#REF!,"AAAAAFeP+hs=")</f>
        <v>#REF!</v>
      </c>
      <c r="AC11" t="e">
        <f>AND(#REF!,"AAAAAFeP+hw=")</f>
        <v>#REF!</v>
      </c>
      <c r="AD11" t="e">
        <f>AND(#REF!,"AAAAAFeP+h0=")</f>
        <v>#REF!</v>
      </c>
      <c r="AE11" t="e">
        <f>IF(#REF!,"AAAAAFeP+h4=",0)</f>
        <v>#REF!</v>
      </c>
      <c r="AF11" t="e">
        <f>AND(#REF!,"AAAAAFeP+h8=")</f>
        <v>#REF!</v>
      </c>
      <c r="AG11" t="e">
        <f>AND(#REF!,"AAAAAFeP+iA=")</f>
        <v>#REF!</v>
      </c>
      <c r="AH11" t="e">
        <f>AND(#REF!,"AAAAAFeP+iE=")</f>
        <v>#REF!</v>
      </c>
      <c r="AI11" t="e">
        <f>IF(#REF!,"AAAAAFeP+iI=",0)</f>
        <v>#REF!</v>
      </c>
      <c r="AJ11" t="e">
        <f>AND(#REF!,"AAAAAFeP+iM=")</f>
        <v>#REF!</v>
      </c>
      <c r="AK11" t="e">
        <f>AND(#REF!,"AAAAAFeP+iQ=")</f>
        <v>#REF!</v>
      </c>
      <c r="AL11" t="e">
        <f>AND(#REF!,"AAAAAFeP+iU=")</f>
        <v>#REF!</v>
      </c>
      <c r="AM11" t="e">
        <f>IF(#REF!,"AAAAAFeP+iY=",0)</f>
        <v>#REF!</v>
      </c>
      <c r="AN11" t="e">
        <f>AND(#REF!,"AAAAAFeP+ic=")</f>
        <v>#REF!</v>
      </c>
      <c r="AO11" t="e">
        <f>AND(#REF!,"AAAAAFeP+ig=")</f>
        <v>#REF!</v>
      </c>
      <c r="AP11" t="e">
        <f>AND(#REF!,"AAAAAFeP+ik=")</f>
        <v>#REF!</v>
      </c>
      <c r="AQ11" t="e">
        <f>IF(#REF!,"AAAAAFeP+io=",0)</f>
        <v>#REF!</v>
      </c>
      <c r="AR11" t="e">
        <f>AND(#REF!,"AAAAAFeP+is=")</f>
        <v>#REF!</v>
      </c>
      <c r="AS11" t="e">
        <f>AND(#REF!,"AAAAAFeP+iw=")</f>
        <v>#REF!</v>
      </c>
      <c r="AT11" t="e">
        <f>AND(#REF!,"AAAAAFeP+i0=")</f>
        <v>#REF!</v>
      </c>
      <c r="AU11" t="e">
        <f>IF(#REF!,"AAAAAFeP+i4=",0)</f>
        <v>#REF!</v>
      </c>
      <c r="AV11" t="e">
        <f>AND(#REF!,"AAAAAFeP+i8=")</f>
        <v>#REF!</v>
      </c>
      <c r="AW11" t="e">
        <f>AND(#REF!,"AAAAAFeP+jA=")</f>
        <v>#REF!</v>
      </c>
      <c r="AX11" t="e">
        <f>AND(#REF!,"AAAAAFeP+jE=")</f>
        <v>#REF!</v>
      </c>
      <c r="AY11" t="e">
        <f>IF(#REF!,"AAAAAFeP+jI=",0)</f>
        <v>#REF!</v>
      </c>
      <c r="AZ11" t="e">
        <f>AND(#REF!,"AAAAAFeP+jM=")</f>
        <v>#REF!</v>
      </c>
      <c r="BA11" t="e">
        <f>AND(#REF!,"AAAAAFeP+jQ=")</f>
        <v>#REF!</v>
      </c>
      <c r="BB11" t="e">
        <f>AND(#REF!,"AAAAAFeP+jU=")</f>
        <v>#REF!</v>
      </c>
      <c r="BC11" t="e">
        <f>IF(#REF!,"AAAAAFeP+jY=",0)</f>
        <v>#REF!</v>
      </c>
      <c r="BD11" t="e">
        <f>AND(#REF!,"AAAAAFeP+jc=")</f>
        <v>#REF!</v>
      </c>
      <c r="BE11" t="e">
        <f>AND(#REF!,"AAAAAFeP+jg=")</f>
        <v>#REF!</v>
      </c>
      <c r="BF11" t="e">
        <f>AND(#REF!,"AAAAAFeP+jk=")</f>
        <v>#REF!</v>
      </c>
      <c r="BG11" t="e">
        <f>IF(#REF!,"AAAAAFeP+jo=",0)</f>
        <v>#REF!</v>
      </c>
      <c r="BH11" t="e">
        <f>AND(#REF!,"AAAAAFeP+js=")</f>
        <v>#REF!</v>
      </c>
      <c r="BI11" t="e">
        <f>AND(#REF!,"AAAAAFeP+jw=")</f>
        <v>#REF!</v>
      </c>
      <c r="BJ11" t="e">
        <f>AND(#REF!,"AAAAAFeP+j0=")</f>
        <v>#REF!</v>
      </c>
      <c r="BK11" t="e">
        <f>IF(#REF!,"AAAAAFeP+j4=",0)</f>
        <v>#REF!</v>
      </c>
      <c r="BL11" t="e">
        <f>AND(#REF!,"AAAAAFeP+j8=")</f>
        <v>#REF!</v>
      </c>
      <c r="BM11" t="e">
        <f>AND(#REF!,"AAAAAFeP+kA=")</f>
        <v>#REF!</v>
      </c>
      <c r="BN11" t="e">
        <f>AND(#REF!,"AAAAAFeP+kE=")</f>
        <v>#REF!</v>
      </c>
      <c r="BO11" t="e">
        <f>IF(#REF!,"AAAAAFeP+kI=",0)</f>
        <v>#REF!</v>
      </c>
      <c r="BP11" t="e">
        <f>AND(#REF!,"AAAAAFeP+kM=")</f>
        <v>#REF!</v>
      </c>
      <c r="BQ11" t="e">
        <f>AND(#REF!,"AAAAAFeP+kQ=")</f>
        <v>#REF!</v>
      </c>
      <c r="BR11" t="e">
        <f>AND(#REF!,"AAAAAFeP+kU=")</f>
        <v>#REF!</v>
      </c>
      <c r="BS11" t="e">
        <f>IF(#REF!,"AAAAAFeP+kY=",0)</f>
        <v>#REF!</v>
      </c>
      <c r="BT11" t="e">
        <f>AND(#REF!,"AAAAAFeP+kc=")</f>
        <v>#REF!</v>
      </c>
      <c r="BU11" t="e">
        <f>AND(#REF!,"AAAAAFeP+kg=")</f>
        <v>#REF!</v>
      </c>
      <c r="BV11" t="e">
        <f>AND(#REF!,"AAAAAFeP+kk=")</f>
        <v>#REF!</v>
      </c>
      <c r="BW11" t="e">
        <f>IF(#REF!,"AAAAAFeP+ko=",0)</f>
        <v>#REF!</v>
      </c>
      <c r="BX11" t="e">
        <f>AND(#REF!,"AAAAAFeP+ks=")</f>
        <v>#REF!</v>
      </c>
      <c r="BY11" t="e">
        <f>AND(#REF!,"AAAAAFeP+kw=")</f>
        <v>#REF!</v>
      </c>
      <c r="BZ11" t="e">
        <f>AND(#REF!,"AAAAAFeP+k0=")</f>
        <v>#REF!</v>
      </c>
      <c r="CA11" t="e">
        <f>IF(#REF!,"AAAAAFeP+k4=",0)</f>
        <v>#REF!</v>
      </c>
      <c r="CB11" t="e">
        <f>AND(#REF!,"AAAAAFeP+k8=")</f>
        <v>#REF!</v>
      </c>
      <c r="CC11" t="e">
        <f>AND(#REF!,"AAAAAFeP+lA=")</f>
        <v>#REF!</v>
      </c>
      <c r="CD11" t="e">
        <f>AND(#REF!,"AAAAAFeP+lE=")</f>
        <v>#REF!</v>
      </c>
      <c r="CE11" t="e">
        <f>IF(#REF!,"AAAAAFeP+lI=",0)</f>
        <v>#REF!</v>
      </c>
      <c r="CF11" t="e">
        <f>AND(#REF!,"AAAAAFeP+lM=")</f>
        <v>#REF!</v>
      </c>
      <c r="CG11" t="e">
        <f>AND(#REF!,"AAAAAFeP+lQ=")</f>
        <v>#REF!</v>
      </c>
      <c r="CH11" t="e">
        <f>AND(#REF!,"AAAAAFeP+lU=")</f>
        <v>#REF!</v>
      </c>
      <c r="CI11" t="e">
        <f>IF(#REF!,"AAAAAFeP+lY=",0)</f>
        <v>#REF!</v>
      </c>
      <c r="CJ11" t="e">
        <f>AND(#REF!,"AAAAAFeP+lc=")</f>
        <v>#REF!</v>
      </c>
      <c r="CK11" t="e">
        <f>AND(#REF!,"AAAAAFeP+lg=")</f>
        <v>#REF!</v>
      </c>
      <c r="CL11" t="e">
        <f>AND(#REF!,"AAAAAFeP+lk=")</f>
        <v>#REF!</v>
      </c>
      <c r="CM11" t="e">
        <f>IF(#REF!,"AAAAAFeP+lo=",0)</f>
        <v>#REF!</v>
      </c>
      <c r="CN11" t="e">
        <f>AND(#REF!,"AAAAAFeP+ls=")</f>
        <v>#REF!</v>
      </c>
      <c r="CO11" t="e">
        <f>AND(#REF!,"AAAAAFeP+lw=")</f>
        <v>#REF!</v>
      </c>
      <c r="CP11" t="e">
        <f>AND(#REF!,"AAAAAFeP+l0=")</f>
        <v>#REF!</v>
      </c>
      <c r="CQ11" t="e">
        <f>IF(#REF!,"AAAAAFeP+l4=",0)</f>
        <v>#REF!</v>
      </c>
      <c r="CR11" t="e">
        <f>AND(#REF!,"AAAAAFeP+l8=")</f>
        <v>#REF!</v>
      </c>
      <c r="CS11" t="e">
        <f>AND(#REF!,"AAAAAFeP+mA=")</f>
        <v>#REF!</v>
      </c>
      <c r="CT11" t="e">
        <f>AND(#REF!,"AAAAAFeP+mE=")</f>
        <v>#REF!</v>
      </c>
      <c r="CU11" t="e">
        <f>IF(#REF!,"AAAAAFeP+mI=",0)</f>
        <v>#REF!</v>
      </c>
      <c r="CV11" t="e">
        <f>AND(#REF!,"AAAAAFeP+mM=")</f>
        <v>#REF!</v>
      </c>
      <c r="CW11" t="e">
        <f>AND(#REF!,"AAAAAFeP+mQ=")</f>
        <v>#REF!</v>
      </c>
      <c r="CX11" t="e">
        <f>AND(#REF!,"AAAAAFeP+mU=")</f>
        <v>#REF!</v>
      </c>
      <c r="CY11" t="e">
        <f>IF(#REF!,"AAAAAFeP+mY=",0)</f>
        <v>#REF!</v>
      </c>
      <c r="CZ11" t="e">
        <f>AND(#REF!,"AAAAAFeP+mc=")</f>
        <v>#REF!</v>
      </c>
      <c r="DA11" t="e">
        <f>AND(#REF!,"AAAAAFeP+mg=")</f>
        <v>#REF!</v>
      </c>
      <c r="DB11" t="e">
        <f>AND(#REF!,"AAAAAFeP+mk=")</f>
        <v>#REF!</v>
      </c>
      <c r="DC11" t="e">
        <f>IF(#REF!,"AAAAAFeP+mo=",0)</f>
        <v>#REF!</v>
      </c>
      <c r="DD11" t="e">
        <f>AND(#REF!,"AAAAAFeP+ms=")</f>
        <v>#REF!</v>
      </c>
      <c r="DE11" t="e">
        <f>AND(#REF!,"AAAAAFeP+mw=")</f>
        <v>#REF!</v>
      </c>
      <c r="DF11" t="e">
        <f>AND(#REF!,"AAAAAFeP+m0=")</f>
        <v>#REF!</v>
      </c>
      <c r="DG11" t="e">
        <f>IF(#REF!,"AAAAAFeP+m4=",0)</f>
        <v>#REF!</v>
      </c>
      <c r="DH11" t="e">
        <f>AND(#REF!,"AAAAAFeP+m8=")</f>
        <v>#REF!</v>
      </c>
      <c r="DI11" t="e">
        <f>AND(#REF!,"AAAAAFeP+nA=")</f>
        <v>#REF!</v>
      </c>
      <c r="DJ11" t="e">
        <f>AND(#REF!,"AAAAAFeP+nE=")</f>
        <v>#REF!</v>
      </c>
      <c r="DK11" t="e">
        <f>IF(#REF!,"AAAAAFeP+nI=",0)</f>
        <v>#REF!</v>
      </c>
      <c r="DL11" t="e">
        <f>AND(#REF!,"AAAAAFeP+nM=")</f>
        <v>#REF!</v>
      </c>
      <c r="DM11" t="e">
        <f>AND(#REF!,"AAAAAFeP+nQ=")</f>
        <v>#REF!</v>
      </c>
      <c r="DN11" t="e">
        <f>AND(#REF!,"AAAAAFeP+nU=")</f>
        <v>#REF!</v>
      </c>
      <c r="DO11" t="e">
        <f>IF(#REF!,"AAAAAFeP+nY=",0)</f>
        <v>#REF!</v>
      </c>
      <c r="DP11" t="e">
        <f>AND(#REF!,"AAAAAFeP+nc=")</f>
        <v>#REF!</v>
      </c>
      <c r="DQ11" t="e">
        <f>AND(#REF!,"AAAAAFeP+ng=")</f>
        <v>#REF!</v>
      </c>
      <c r="DR11" t="e">
        <f>AND(#REF!,"AAAAAFeP+nk=")</f>
        <v>#REF!</v>
      </c>
      <c r="DS11" t="e">
        <f>IF(#REF!,"AAAAAFeP+no=",0)</f>
        <v>#REF!</v>
      </c>
      <c r="DT11" t="e">
        <f>AND(#REF!,"AAAAAFeP+ns=")</f>
        <v>#REF!</v>
      </c>
      <c r="DU11" t="e">
        <f>AND(#REF!,"AAAAAFeP+nw=")</f>
        <v>#REF!</v>
      </c>
      <c r="DV11" t="e">
        <f>AND(#REF!,"AAAAAFeP+n0=")</f>
        <v>#REF!</v>
      </c>
      <c r="DW11" t="e">
        <f>IF(#REF!,"AAAAAFeP+n4=",0)</f>
        <v>#REF!</v>
      </c>
      <c r="DX11" t="e">
        <f>AND(#REF!,"AAAAAFeP+n8=")</f>
        <v>#REF!</v>
      </c>
      <c r="DY11" t="e">
        <f>AND(#REF!,"AAAAAFeP+oA=")</f>
        <v>#REF!</v>
      </c>
      <c r="DZ11" t="e">
        <f>AND(#REF!,"AAAAAFeP+oE=")</f>
        <v>#REF!</v>
      </c>
      <c r="EA11" t="e">
        <f>IF(#REF!,"AAAAAFeP+oI=",0)</f>
        <v>#REF!</v>
      </c>
      <c r="EB11" t="e">
        <f>AND(#REF!,"AAAAAFeP+oM=")</f>
        <v>#REF!</v>
      </c>
      <c r="EC11" t="e">
        <f>AND(#REF!,"AAAAAFeP+oQ=")</f>
        <v>#REF!</v>
      </c>
      <c r="ED11" t="e">
        <f>AND(#REF!,"AAAAAFeP+oU=")</f>
        <v>#REF!</v>
      </c>
      <c r="EE11" t="e">
        <f>IF(#REF!,"AAAAAFeP+oY=",0)</f>
        <v>#REF!</v>
      </c>
      <c r="EF11" t="e">
        <f>AND(#REF!,"AAAAAFeP+oc=")</f>
        <v>#REF!</v>
      </c>
      <c r="EG11" t="e">
        <f>AND(#REF!,"AAAAAFeP+og=")</f>
        <v>#REF!</v>
      </c>
      <c r="EH11" t="e">
        <f>AND(#REF!,"AAAAAFeP+ok=")</f>
        <v>#REF!</v>
      </c>
      <c r="EI11" t="e">
        <f>IF(#REF!,"AAAAAFeP+oo=",0)</f>
        <v>#REF!</v>
      </c>
      <c r="EJ11" t="e">
        <f>AND(#REF!,"AAAAAFeP+os=")</f>
        <v>#REF!</v>
      </c>
      <c r="EK11" t="e">
        <f>AND(#REF!,"AAAAAFeP+ow=")</f>
        <v>#REF!</v>
      </c>
      <c r="EL11" t="e">
        <f>AND(#REF!,"AAAAAFeP+o0=")</f>
        <v>#REF!</v>
      </c>
      <c r="EM11" t="e">
        <f>IF(#REF!,"AAAAAFeP+o4=",0)</f>
        <v>#REF!</v>
      </c>
      <c r="EN11" t="e">
        <f>AND(#REF!,"AAAAAFeP+o8=")</f>
        <v>#REF!</v>
      </c>
      <c r="EO11" t="e">
        <f>AND(#REF!,"AAAAAFeP+pA=")</f>
        <v>#REF!</v>
      </c>
      <c r="EP11" t="e">
        <f>AND(#REF!,"AAAAAFeP+pE=")</f>
        <v>#REF!</v>
      </c>
      <c r="EQ11" t="e">
        <f>IF(#REF!,"AAAAAFeP+pI=",0)</f>
        <v>#REF!</v>
      </c>
      <c r="ER11" t="e">
        <f>AND(#REF!,"AAAAAFeP+pM=")</f>
        <v>#REF!</v>
      </c>
      <c r="ES11" t="e">
        <f>AND(#REF!,"AAAAAFeP+pQ=")</f>
        <v>#REF!</v>
      </c>
      <c r="ET11" t="e">
        <f>AND(#REF!,"AAAAAFeP+pU=")</f>
        <v>#REF!</v>
      </c>
      <c r="EU11" t="e">
        <f>IF(#REF!,"AAAAAFeP+pY=",0)</f>
        <v>#REF!</v>
      </c>
      <c r="EV11" t="e">
        <f>AND(#REF!,"AAAAAFeP+pc=")</f>
        <v>#REF!</v>
      </c>
      <c r="EW11" t="e">
        <f>AND(#REF!,"AAAAAFeP+pg=")</f>
        <v>#REF!</v>
      </c>
      <c r="EX11" t="e">
        <f>AND(#REF!,"AAAAAFeP+pk=")</f>
        <v>#REF!</v>
      </c>
      <c r="EY11" t="e">
        <f>IF(#REF!,"AAAAAFeP+po=",0)</f>
        <v>#REF!</v>
      </c>
      <c r="EZ11" t="e">
        <f>AND(#REF!,"AAAAAFeP+ps=")</f>
        <v>#REF!</v>
      </c>
      <c r="FA11" t="e">
        <f>AND(#REF!,"AAAAAFeP+pw=")</f>
        <v>#REF!</v>
      </c>
      <c r="FB11" t="e">
        <f>AND(#REF!,"AAAAAFeP+p0=")</f>
        <v>#REF!</v>
      </c>
      <c r="FC11" t="e">
        <f>IF(#REF!,"AAAAAFeP+p4=",0)</f>
        <v>#REF!</v>
      </c>
      <c r="FD11" t="e">
        <f>AND(#REF!,"AAAAAFeP+p8=")</f>
        <v>#REF!</v>
      </c>
      <c r="FE11" t="e">
        <f>AND(#REF!,"AAAAAFeP+qA=")</f>
        <v>#REF!</v>
      </c>
      <c r="FF11" t="e">
        <f>AND(#REF!,"AAAAAFeP+qE=")</f>
        <v>#REF!</v>
      </c>
      <c r="FG11" t="e">
        <f>IF(#REF!,"AAAAAFeP+qI=",0)</f>
        <v>#REF!</v>
      </c>
      <c r="FH11" t="e">
        <f>AND(#REF!,"AAAAAFeP+qM=")</f>
        <v>#REF!</v>
      </c>
      <c r="FI11" t="e">
        <f>AND(#REF!,"AAAAAFeP+qQ=")</f>
        <v>#REF!</v>
      </c>
      <c r="FJ11" t="e">
        <f>AND(#REF!,"AAAAAFeP+qU=")</f>
        <v>#REF!</v>
      </c>
      <c r="FK11" t="e">
        <f>IF(#REF!,"AAAAAFeP+qY=",0)</f>
        <v>#REF!</v>
      </c>
      <c r="FL11" t="e">
        <f>AND(#REF!,"AAAAAFeP+qc=")</f>
        <v>#REF!</v>
      </c>
      <c r="FM11" t="e">
        <f>AND(#REF!,"AAAAAFeP+qg=")</f>
        <v>#REF!</v>
      </c>
      <c r="FN11" t="e">
        <f>AND(#REF!,"AAAAAFeP+qk=")</f>
        <v>#REF!</v>
      </c>
      <c r="FO11" t="e">
        <f>IF(#REF!,"AAAAAFeP+qo=",0)</f>
        <v>#REF!</v>
      </c>
      <c r="FP11" t="e">
        <f>AND(#REF!,"AAAAAFeP+qs=")</f>
        <v>#REF!</v>
      </c>
      <c r="FQ11" t="e">
        <f>AND(#REF!,"AAAAAFeP+qw=")</f>
        <v>#REF!</v>
      </c>
      <c r="FR11" t="e">
        <f>AND(#REF!,"AAAAAFeP+q0=")</f>
        <v>#REF!</v>
      </c>
      <c r="FS11" t="e">
        <f>IF(#REF!,"AAAAAFeP+q4=",0)</f>
        <v>#REF!</v>
      </c>
      <c r="FT11" t="e">
        <f>AND(#REF!,"AAAAAFeP+q8=")</f>
        <v>#REF!</v>
      </c>
      <c r="FU11" t="e">
        <f>AND(#REF!,"AAAAAFeP+rA=")</f>
        <v>#REF!</v>
      </c>
      <c r="FV11" t="e">
        <f>AND(#REF!,"AAAAAFeP+rE=")</f>
        <v>#REF!</v>
      </c>
      <c r="FW11" t="e">
        <f>IF(#REF!,"AAAAAFeP+rI=",0)</f>
        <v>#REF!</v>
      </c>
      <c r="FX11" t="e">
        <f>IF(#REF!,"AAAAAFeP+rM=",0)</f>
        <v>#REF!</v>
      </c>
      <c r="FY11" t="e">
        <f>IF(#REF!,"AAAAAFeP+rQ=",0)</f>
        <v>#REF!</v>
      </c>
      <c r="FZ11" t="e">
        <f>IF(#REF!,"AAAAAFeP+rU=",0)</f>
        <v>#REF!</v>
      </c>
      <c r="GA11" t="e">
        <f>AND(#REF!,"AAAAAFeP+rY=")</f>
        <v>#REF!</v>
      </c>
      <c r="GB11" t="e">
        <f>AND(#REF!,"AAAAAFeP+rc=")</f>
        <v>#REF!</v>
      </c>
      <c r="GC11" t="e">
        <f>AND(#REF!,"AAAAAFeP+rg=")</f>
        <v>#REF!</v>
      </c>
      <c r="GD11" t="e">
        <f>AND(#REF!,"AAAAAFeP+rk=")</f>
        <v>#REF!</v>
      </c>
      <c r="GE11" t="e">
        <f>AND(#REF!,"AAAAAFeP+ro=")</f>
        <v>#REF!</v>
      </c>
      <c r="GF11" t="e">
        <f>IF(#REF!,"AAAAAFeP+rs=",0)</f>
        <v>#REF!</v>
      </c>
      <c r="GG11" t="e">
        <f>AND(#REF!,"AAAAAFeP+rw=")</f>
        <v>#REF!</v>
      </c>
      <c r="GH11" t="e">
        <f>AND(#REF!,"AAAAAFeP+r0=")</f>
        <v>#REF!</v>
      </c>
      <c r="GI11" t="e">
        <f>AND(#REF!,"AAAAAFeP+r4=")</f>
        <v>#REF!</v>
      </c>
      <c r="GJ11" t="e">
        <f>AND(#REF!,"AAAAAFeP+r8=")</f>
        <v>#REF!</v>
      </c>
      <c r="GK11" t="e">
        <f>AND(#REF!,"AAAAAFeP+sA=")</f>
        <v>#REF!</v>
      </c>
      <c r="GL11" t="e">
        <f>IF(#REF!,"AAAAAFeP+sE=",0)</f>
        <v>#REF!</v>
      </c>
      <c r="GM11" t="e">
        <f>AND(#REF!,"AAAAAFeP+sI=")</f>
        <v>#REF!</v>
      </c>
      <c r="GN11" t="e">
        <f>AND(#REF!,"AAAAAFeP+sM=")</f>
        <v>#REF!</v>
      </c>
      <c r="GO11" t="e">
        <f>AND(#REF!,"AAAAAFeP+sQ=")</f>
        <v>#REF!</v>
      </c>
      <c r="GP11" t="e">
        <f>AND(#REF!,"AAAAAFeP+sU=")</f>
        <v>#REF!</v>
      </c>
      <c r="GQ11" t="e">
        <f>AND(#REF!,"AAAAAFeP+sY=")</f>
        <v>#REF!</v>
      </c>
      <c r="GR11" t="e">
        <f>IF(#REF!,"AAAAAFeP+sc=",0)</f>
        <v>#REF!</v>
      </c>
      <c r="GS11" t="e">
        <f>AND(#REF!,"AAAAAFeP+sg=")</f>
        <v>#REF!</v>
      </c>
      <c r="GT11" t="e">
        <f>AND(#REF!,"AAAAAFeP+sk=")</f>
        <v>#REF!</v>
      </c>
      <c r="GU11" t="e">
        <f>AND(#REF!,"AAAAAFeP+so=")</f>
        <v>#REF!</v>
      </c>
      <c r="GV11" t="e">
        <f>AND(#REF!,"AAAAAFeP+ss=")</f>
        <v>#REF!</v>
      </c>
      <c r="GW11" t="e">
        <f>AND(#REF!,"AAAAAFeP+sw=")</f>
        <v>#REF!</v>
      </c>
      <c r="GX11" t="e">
        <f>IF(#REF!,"AAAAAFeP+s0=",0)</f>
        <v>#REF!</v>
      </c>
      <c r="GY11" t="e">
        <f>AND(#REF!,"AAAAAFeP+s4=")</f>
        <v>#REF!</v>
      </c>
      <c r="GZ11" t="e">
        <f>AND(#REF!,"AAAAAFeP+s8=")</f>
        <v>#REF!</v>
      </c>
      <c r="HA11" t="e">
        <f>AND(#REF!,"AAAAAFeP+tA=")</f>
        <v>#REF!</v>
      </c>
      <c r="HB11" t="e">
        <f>AND(#REF!,"AAAAAFeP+tE=")</f>
        <v>#REF!</v>
      </c>
      <c r="HC11" t="e">
        <f>AND(#REF!,"AAAAAFeP+tI=")</f>
        <v>#REF!</v>
      </c>
      <c r="HD11" t="e">
        <f>IF(#REF!,"AAAAAFeP+tM=",0)</f>
        <v>#REF!</v>
      </c>
      <c r="HE11" t="e">
        <f>AND(#REF!,"AAAAAFeP+tQ=")</f>
        <v>#REF!</v>
      </c>
      <c r="HF11" t="e">
        <f>IF(#REF!,"AAAAAFeP+tU=",0)</f>
        <v>#REF!</v>
      </c>
      <c r="HG11" t="e">
        <f>IF(#REF!,"AAAAAFeP+tY=",0)</f>
        <v>#REF!</v>
      </c>
      <c r="HH11" t="e">
        <f>IF(#REF!,"AAAAAFeP+tc=",0)</f>
        <v>#REF!</v>
      </c>
      <c r="HI11" t="e">
        <f>IF(#REF!,"AAAAAFeP+tg=",0)</f>
        <v>#REF!</v>
      </c>
      <c r="HJ11" t="e">
        <f>IF(#REF!,"AAAAAFeP+tk=",0)</f>
        <v>#REF!</v>
      </c>
      <c r="HK11" t="e">
        <f>IF(#REF!,"AAAAAFeP+to=",0)</f>
        <v>#REF!</v>
      </c>
      <c r="HL11" t="e">
        <f>AND(#REF!,"AAAAAFeP+ts=")</f>
        <v>#REF!</v>
      </c>
      <c r="HM11" t="e">
        <f>AND(#REF!,"AAAAAFeP+tw=")</f>
        <v>#REF!</v>
      </c>
      <c r="HN11" t="e">
        <f>AND(#REF!,"AAAAAFeP+t0=")</f>
        <v>#REF!</v>
      </c>
      <c r="HO11" t="e">
        <f>AND(#REF!,"AAAAAFeP+t4=")</f>
        <v>#REF!</v>
      </c>
      <c r="HP11" t="e">
        <f>IF(#REF!,"AAAAAFeP+t8=",0)</f>
        <v>#REF!</v>
      </c>
      <c r="HQ11" t="e">
        <f>AND(#REF!,"AAAAAFeP+uA=")</f>
        <v>#REF!</v>
      </c>
      <c r="HR11" t="e">
        <f>AND(#REF!,"AAAAAFeP+uE=")</f>
        <v>#REF!</v>
      </c>
      <c r="HS11" t="e">
        <f>AND(#REF!,"AAAAAFeP+uI=")</f>
        <v>#REF!</v>
      </c>
      <c r="HT11" t="e">
        <f>AND(#REF!,"AAAAAFeP+uM=")</f>
        <v>#REF!</v>
      </c>
      <c r="HU11" t="e">
        <f>IF(#REF!,"AAAAAFeP+uQ=",0)</f>
        <v>#REF!</v>
      </c>
      <c r="HV11" t="e">
        <f>AND(#REF!,"AAAAAFeP+uU=")</f>
        <v>#REF!</v>
      </c>
      <c r="HW11" t="e">
        <f>AND(#REF!,"AAAAAFeP+uY=")</f>
        <v>#REF!</v>
      </c>
      <c r="HX11" t="e">
        <f>AND(#REF!,"AAAAAFeP+uc=")</f>
        <v>#REF!</v>
      </c>
      <c r="HY11" t="e">
        <f>AND(#REF!,"AAAAAFeP+ug=")</f>
        <v>#REF!</v>
      </c>
      <c r="HZ11" t="e">
        <f>IF(#REF!,"AAAAAFeP+uk=",0)</f>
        <v>#REF!</v>
      </c>
      <c r="IA11" t="e">
        <f>AND(#REF!,"AAAAAFeP+uo=")</f>
        <v>#REF!</v>
      </c>
      <c r="IB11" t="e">
        <f>AND(#REF!,"AAAAAFeP+us=")</f>
        <v>#REF!</v>
      </c>
      <c r="IC11" t="e">
        <f>AND(#REF!,"AAAAAFeP+uw=")</f>
        <v>#REF!</v>
      </c>
      <c r="ID11" t="e">
        <f>AND(#REF!,"AAAAAFeP+u0=")</f>
        <v>#REF!</v>
      </c>
      <c r="IE11" t="e">
        <f>IF(#REF!,"AAAAAFeP+u4=",0)</f>
        <v>#REF!</v>
      </c>
      <c r="IF11" t="e">
        <f>AND(#REF!,"AAAAAFeP+u8=")</f>
        <v>#REF!</v>
      </c>
      <c r="IG11" t="e">
        <f>AND(#REF!,"AAAAAFeP+vA=")</f>
        <v>#REF!</v>
      </c>
      <c r="IH11" t="e">
        <f>AND(#REF!,"AAAAAFeP+vE=")</f>
        <v>#REF!</v>
      </c>
      <c r="II11" t="e">
        <f>AND(#REF!,"AAAAAFeP+vI=")</f>
        <v>#REF!</v>
      </c>
      <c r="IJ11" t="e">
        <f>IF(#REF!,"AAAAAFeP+vM=",0)</f>
        <v>#REF!</v>
      </c>
      <c r="IK11" t="e">
        <f>AND(#REF!,"AAAAAFeP+vQ=")</f>
        <v>#REF!</v>
      </c>
      <c r="IL11" t="e">
        <f>AND(#REF!,"AAAAAFeP+vU=")</f>
        <v>#REF!</v>
      </c>
      <c r="IM11" t="e">
        <f>AND(#REF!,"AAAAAFeP+vY=")</f>
        <v>#REF!</v>
      </c>
      <c r="IN11" t="e">
        <f>AND(#REF!,"AAAAAFeP+vc=")</f>
        <v>#REF!</v>
      </c>
      <c r="IO11" t="e">
        <f>IF(#REF!,"AAAAAFeP+vg=",0)</f>
        <v>#REF!</v>
      </c>
      <c r="IP11" t="e">
        <f>AND(#REF!,"AAAAAFeP+vk=")</f>
        <v>#REF!</v>
      </c>
      <c r="IQ11" t="e">
        <f>AND(#REF!,"AAAAAFeP+vo=")</f>
        <v>#REF!</v>
      </c>
      <c r="IR11" t="e">
        <f>AND(#REF!,"AAAAAFeP+vs=")</f>
        <v>#REF!</v>
      </c>
      <c r="IS11" t="e">
        <f>AND(#REF!,"AAAAAFeP+vw=")</f>
        <v>#REF!</v>
      </c>
      <c r="IT11" t="e">
        <f>IF(#REF!,"AAAAAFeP+v0=",0)</f>
        <v>#REF!</v>
      </c>
      <c r="IU11" t="e">
        <f>AND(#REF!,"AAAAAFeP+v4=")</f>
        <v>#REF!</v>
      </c>
      <c r="IV11" t="e">
        <f>AND(#REF!,"AAAAAFeP+v8=")</f>
        <v>#REF!</v>
      </c>
    </row>
    <row r="12" spans="1:256">
      <c r="A12" t="e">
        <f>AND(#REF!,"AAAAAHu9dAA=")</f>
        <v>#REF!</v>
      </c>
      <c r="B12" t="e">
        <f>AND(#REF!,"AAAAAHu9dAE=")</f>
        <v>#REF!</v>
      </c>
      <c r="C12" t="e">
        <f>IF(#REF!,"AAAAAHu9dAI=",0)</f>
        <v>#REF!</v>
      </c>
      <c r="D12" t="e">
        <f>AND(#REF!,"AAAAAHu9dAM=")</f>
        <v>#REF!</v>
      </c>
      <c r="E12" t="e">
        <f>AND(#REF!,"AAAAAHu9dAQ=")</f>
        <v>#REF!</v>
      </c>
      <c r="F12" t="e">
        <f>AND(#REF!,"AAAAAHu9dAU=")</f>
        <v>#REF!</v>
      </c>
      <c r="G12" t="e">
        <f>AND(#REF!,"AAAAAHu9dAY=")</f>
        <v>#REF!</v>
      </c>
      <c r="H12" t="e">
        <f>IF(#REF!,"AAAAAHu9dAc=",0)</f>
        <v>#REF!</v>
      </c>
      <c r="I12" t="e">
        <f>AND(#REF!,"AAAAAHu9dAg=")</f>
        <v>#REF!</v>
      </c>
      <c r="J12" t="e">
        <f>AND(#REF!,"AAAAAHu9dAk=")</f>
        <v>#REF!</v>
      </c>
      <c r="K12" t="e">
        <f>AND(#REF!,"AAAAAHu9dAo=")</f>
        <v>#REF!</v>
      </c>
      <c r="L12" t="e">
        <f>AND(#REF!,"AAAAAHu9dAs=")</f>
        <v>#REF!</v>
      </c>
      <c r="M12" t="e">
        <f>IF(#REF!,"AAAAAHu9dAw=",0)</f>
        <v>#REF!</v>
      </c>
      <c r="N12" t="e">
        <f>AND(#REF!,"AAAAAHu9dA0=")</f>
        <v>#REF!</v>
      </c>
      <c r="O12" t="e">
        <f>IF(#REF!,"AAAAAHu9dA4=",0)</f>
        <v>#REF!</v>
      </c>
      <c r="P12" t="e">
        <f>AND(#REF!,"AAAAAHu9dA8=")</f>
        <v>#REF!</v>
      </c>
      <c r="Q12" t="e">
        <f>IF(#REF!,"AAAAAHu9dBA=",0)</f>
        <v>#REF!</v>
      </c>
      <c r="R12" t="e">
        <f>IF(#REF!,"AAAAAHu9dBE=",0)</f>
        <v>#REF!</v>
      </c>
      <c r="S12" t="e">
        <f>IF(#REF!,"AAAAAHu9dBI=",0)</f>
        <v>#REF!</v>
      </c>
      <c r="T12" t="e">
        <f>IF(#REF!,"AAAAAHu9dBM=",0)</f>
        <v>#REF!</v>
      </c>
      <c r="U12" t="e">
        <f>IF(#REF!,"AAAAAHu9dBQ=",0)</f>
        <v>#REF!</v>
      </c>
      <c r="V12" t="e">
        <f>AND(#REF!,"AAAAAHu9dBU=")</f>
        <v>#REF!</v>
      </c>
      <c r="W12" t="e">
        <f>AND(#REF!,"AAAAAHu9dBY=")</f>
        <v>#REF!</v>
      </c>
      <c r="X12" t="e">
        <f>AND(#REF!,"AAAAAHu9dBc=")</f>
        <v>#REF!</v>
      </c>
      <c r="Y12" t="e">
        <f>IF(#REF!,"AAAAAHu9dBg=",0)</f>
        <v>#REF!</v>
      </c>
      <c r="Z12" t="e">
        <f>AND(#REF!,"AAAAAHu9dBk=")</f>
        <v>#REF!</v>
      </c>
      <c r="AA12" t="e">
        <f>AND(#REF!,"AAAAAHu9dBo=")</f>
        <v>#REF!</v>
      </c>
      <c r="AB12" t="e">
        <f>AND(#REF!,"AAAAAHu9dBs=")</f>
        <v>#REF!</v>
      </c>
      <c r="AC12" t="e">
        <f>IF(#REF!,"AAAAAHu9dBw=",0)</f>
        <v>#REF!</v>
      </c>
      <c r="AD12" t="e">
        <f>AND(#REF!,"AAAAAHu9dB0=")</f>
        <v>#REF!</v>
      </c>
      <c r="AE12" t="e">
        <f>AND(#REF!,"AAAAAHu9dB4=")</f>
        <v>#REF!</v>
      </c>
      <c r="AF12" t="e">
        <f>AND(#REF!,"AAAAAHu9dB8=")</f>
        <v>#REF!</v>
      </c>
      <c r="AG12" t="e">
        <f>IF(#REF!,"AAAAAHu9dCA=",0)</f>
        <v>#REF!</v>
      </c>
      <c r="AH12" t="e">
        <f>AND(#REF!,"AAAAAHu9dCE=")</f>
        <v>#REF!</v>
      </c>
      <c r="AI12" t="e">
        <f>AND(#REF!,"AAAAAHu9dCI=")</f>
        <v>#REF!</v>
      </c>
      <c r="AJ12" t="e">
        <f>AND(#REF!,"AAAAAHu9dCM=")</f>
        <v>#REF!</v>
      </c>
      <c r="AK12" t="e">
        <f>IF(#REF!,"AAAAAHu9dCQ=",0)</f>
        <v>#REF!</v>
      </c>
      <c r="AL12" t="e">
        <f>AND(#REF!,"AAAAAHu9dCU=")</f>
        <v>#REF!</v>
      </c>
      <c r="AM12" t="e">
        <f>AND(#REF!,"AAAAAHu9dCY=")</f>
        <v>#REF!</v>
      </c>
      <c r="AN12" t="e">
        <f>AND(#REF!,"AAAAAHu9dCc=")</f>
        <v>#REF!</v>
      </c>
      <c r="AO12" t="e">
        <f>IF(#REF!,"AAAAAHu9dCg=",0)</f>
        <v>#REF!</v>
      </c>
      <c r="AP12" t="e">
        <f>AND(#REF!,"AAAAAHu9dCk=")</f>
        <v>#REF!</v>
      </c>
      <c r="AQ12" t="e">
        <f>AND(#REF!,"AAAAAHu9dCo=")</f>
        <v>#REF!</v>
      </c>
      <c r="AR12" t="e">
        <f>AND(#REF!,"AAAAAHu9dCs=")</f>
        <v>#REF!</v>
      </c>
      <c r="AS12" t="e">
        <f>IF(#REF!,"AAAAAHu9dCw=",0)</f>
        <v>#REF!</v>
      </c>
      <c r="AT12" t="e">
        <f>AND(#REF!,"AAAAAHu9dC0=")</f>
        <v>#REF!</v>
      </c>
      <c r="AU12" t="e">
        <f>AND(#REF!,"AAAAAHu9dC4=")</f>
        <v>#REF!</v>
      </c>
      <c r="AV12" t="e">
        <f>AND(#REF!,"AAAAAHu9dC8=")</f>
        <v>#REF!</v>
      </c>
      <c r="AW12" t="e">
        <f>IF(#REF!,"AAAAAHu9dDA=",0)</f>
        <v>#REF!</v>
      </c>
      <c r="AX12" t="e">
        <f>AND(#REF!,"AAAAAHu9dDE=")</f>
        <v>#REF!</v>
      </c>
      <c r="AY12" t="e">
        <f>AND(#REF!,"AAAAAHu9dDI=")</f>
        <v>#REF!</v>
      </c>
      <c r="AZ12" t="e">
        <f>AND(#REF!,"AAAAAHu9dDM=")</f>
        <v>#REF!</v>
      </c>
      <c r="BA12" t="e">
        <f>IF(#REF!,"AAAAAHu9dDQ=",0)</f>
        <v>#REF!</v>
      </c>
      <c r="BB12" t="e">
        <f>AND(#REF!,"AAAAAHu9dDU=")</f>
        <v>#REF!</v>
      </c>
      <c r="BC12" t="e">
        <f>AND(#REF!,"AAAAAHu9dDY=")</f>
        <v>#REF!</v>
      </c>
      <c r="BD12" t="e">
        <f>AND(#REF!,"AAAAAHu9dDc=")</f>
        <v>#REF!</v>
      </c>
      <c r="BE12" t="e">
        <f>IF(#REF!,"AAAAAHu9dDg=",0)</f>
        <v>#REF!</v>
      </c>
      <c r="BF12" t="e">
        <f>AND(#REF!,"AAAAAHu9dDk=")</f>
        <v>#REF!</v>
      </c>
      <c r="BG12" t="e">
        <f>AND(#REF!,"AAAAAHu9dDo=")</f>
        <v>#REF!</v>
      </c>
      <c r="BH12" t="e">
        <f>AND(#REF!,"AAAAAHu9dDs=")</f>
        <v>#REF!</v>
      </c>
      <c r="BI12" t="e">
        <f>IF(#REF!,"AAAAAHu9dDw=",0)</f>
        <v>#REF!</v>
      </c>
      <c r="BJ12" t="e">
        <f>IF(#REF!,"AAAAAHu9dD0=",0)</f>
        <v>#REF!</v>
      </c>
      <c r="BK12" t="e">
        <f>IF(#REF!,"AAAAAHu9dD4=",0)</f>
        <v>#REF!</v>
      </c>
      <c r="BL12" t="e">
        <f>IF(#REF!,"AAAAAHu9dD8=",0)</f>
        <v>#REF!</v>
      </c>
      <c r="BM12" t="e">
        <f>AND(#REF!,"AAAAAHu9dEA=")</f>
        <v>#REF!</v>
      </c>
      <c r="BN12" t="e">
        <f>AND(#REF!,"AAAAAHu9dEE=")</f>
        <v>#REF!</v>
      </c>
      <c r="BO12" t="e">
        <f>AND(#REF!,"AAAAAHu9dEI=")</f>
        <v>#REF!</v>
      </c>
      <c r="BP12" t="e">
        <f>AND(#REF!,"AAAAAHu9dEM=")</f>
        <v>#REF!</v>
      </c>
      <c r="BQ12" t="e">
        <f>AND(#REF!,"AAAAAHu9dEQ=")</f>
        <v>#REF!</v>
      </c>
      <c r="BR12" t="e">
        <f>IF(#REF!,"AAAAAHu9dEU=",0)</f>
        <v>#REF!</v>
      </c>
      <c r="BS12" t="e">
        <f>AND(#REF!,"AAAAAHu9dEY=")</f>
        <v>#REF!</v>
      </c>
      <c r="BT12" t="e">
        <f>AND(#REF!,"AAAAAHu9dEc=")</f>
        <v>#REF!</v>
      </c>
      <c r="BU12" t="e">
        <f>AND(#REF!,"AAAAAHu9dEg=")</f>
        <v>#REF!</v>
      </c>
      <c r="BV12" t="e">
        <f>AND(#REF!,"AAAAAHu9dEk=")</f>
        <v>#REF!</v>
      </c>
      <c r="BW12" t="e">
        <f>AND(#REF!,"AAAAAHu9dEo=")</f>
        <v>#REF!</v>
      </c>
      <c r="BX12" t="e">
        <f>IF(#REF!,"AAAAAHu9dEs=",0)</f>
        <v>#REF!</v>
      </c>
      <c r="BY12" t="e">
        <f>AND(#REF!,"AAAAAHu9dEw=")</f>
        <v>#REF!</v>
      </c>
      <c r="BZ12" t="e">
        <f>AND(#REF!,"AAAAAHu9dE0=")</f>
        <v>#REF!</v>
      </c>
      <c r="CA12" t="e">
        <f>AND(#REF!,"AAAAAHu9dE4=")</f>
        <v>#REF!</v>
      </c>
      <c r="CB12" t="e">
        <f>AND(#REF!,"AAAAAHu9dE8=")</f>
        <v>#REF!</v>
      </c>
      <c r="CC12" t="e">
        <f>AND(#REF!,"AAAAAHu9dFA=")</f>
        <v>#REF!</v>
      </c>
      <c r="CD12" t="e">
        <f>IF(#REF!,"AAAAAHu9dFE=",0)</f>
        <v>#REF!</v>
      </c>
      <c r="CE12" t="e">
        <f>AND(#REF!,"AAAAAHu9dFI=")</f>
        <v>#REF!</v>
      </c>
      <c r="CF12" t="e">
        <f>AND(#REF!,"AAAAAHu9dFM=")</f>
        <v>#REF!</v>
      </c>
      <c r="CG12" t="e">
        <f>AND(#REF!,"AAAAAHu9dFQ=")</f>
        <v>#REF!</v>
      </c>
      <c r="CH12" t="e">
        <f>AND(#REF!,"AAAAAHu9dFU=")</f>
        <v>#REF!</v>
      </c>
      <c r="CI12" t="e">
        <f>AND(#REF!,"AAAAAHu9dFY=")</f>
        <v>#REF!</v>
      </c>
      <c r="CJ12" t="e">
        <f>IF(#REF!,"AAAAAHu9dFc=",0)</f>
        <v>#REF!</v>
      </c>
      <c r="CK12" t="e">
        <f>AND(#REF!,"AAAAAHu9dFg=")</f>
        <v>#REF!</v>
      </c>
      <c r="CL12" t="e">
        <f>AND(#REF!,"AAAAAHu9dFk=")</f>
        <v>#REF!</v>
      </c>
      <c r="CM12" t="e">
        <f>AND(#REF!,"AAAAAHu9dFo=")</f>
        <v>#REF!</v>
      </c>
      <c r="CN12" t="e">
        <f>AND(#REF!,"AAAAAHu9dFs=")</f>
        <v>#REF!</v>
      </c>
      <c r="CO12" t="e">
        <f>AND(#REF!,"AAAAAHu9dFw=")</f>
        <v>#REF!</v>
      </c>
      <c r="CP12" t="e">
        <f>IF(#REF!,"AAAAAHu9dF0=",0)</f>
        <v>#REF!</v>
      </c>
      <c r="CQ12" t="e">
        <f>AND(#REF!,"AAAAAHu9dF4=")</f>
        <v>#REF!</v>
      </c>
      <c r="CR12" t="e">
        <f>AND(#REF!,"AAAAAHu9dF8=")</f>
        <v>#REF!</v>
      </c>
      <c r="CS12" t="e">
        <f>AND(#REF!,"AAAAAHu9dGA=")</f>
        <v>#REF!</v>
      </c>
      <c r="CT12" t="e">
        <f>AND(#REF!,"AAAAAHu9dGE=")</f>
        <v>#REF!</v>
      </c>
      <c r="CU12" t="e">
        <f>AND(#REF!,"AAAAAHu9dGI=")</f>
        <v>#REF!</v>
      </c>
      <c r="CV12" t="e">
        <f>IF(#REF!,"AAAAAHu9dGM=",0)</f>
        <v>#REF!</v>
      </c>
      <c r="CW12" t="e">
        <f>AND(#REF!,"AAAAAHu9dGQ=")</f>
        <v>#REF!</v>
      </c>
      <c r="CX12" t="e">
        <f>AND(#REF!,"AAAAAHu9dGU=")</f>
        <v>#REF!</v>
      </c>
      <c r="CY12" t="e">
        <f>AND(#REF!,"AAAAAHu9dGY=")</f>
        <v>#REF!</v>
      </c>
      <c r="CZ12" t="e">
        <f>AND(#REF!,"AAAAAHu9dGc=")</f>
        <v>#REF!</v>
      </c>
      <c r="DA12" t="e">
        <f>AND(#REF!,"AAAAAHu9dGg=")</f>
        <v>#REF!</v>
      </c>
      <c r="DB12" t="e">
        <f>IF(#REF!,"AAAAAHu9dGk=",0)</f>
        <v>#REF!</v>
      </c>
      <c r="DC12" t="e">
        <f>AND(#REF!,"AAAAAHu9dGo=")</f>
        <v>#REF!</v>
      </c>
      <c r="DD12" t="e">
        <f>AND(#REF!,"AAAAAHu9dGs=")</f>
        <v>#REF!</v>
      </c>
      <c r="DE12" t="e">
        <f>AND(#REF!,"AAAAAHu9dGw=")</f>
        <v>#REF!</v>
      </c>
      <c r="DF12" t="e">
        <f>AND(#REF!,"AAAAAHu9dG0=")</f>
        <v>#REF!</v>
      </c>
      <c r="DG12" t="e">
        <f>AND(#REF!,"AAAAAHu9dG4=")</f>
        <v>#REF!</v>
      </c>
      <c r="DH12" t="e">
        <f>IF(#REF!,"AAAAAHu9dG8=",0)</f>
        <v>#REF!</v>
      </c>
      <c r="DI12" t="e">
        <f>AND(#REF!,"AAAAAHu9dHA=")</f>
        <v>#REF!</v>
      </c>
      <c r="DJ12" t="e">
        <f>AND(#REF!,"AAAAAHu9dHE=")</f>
        <v>#REF!</v>
      </c>
      <c r="DK12" t="e">
        <f>AND(#REF!,"AAAAAHu9dHI=")</f>
        <v>#REF!</v>
      </c>
      <c r="DL12" t="e">
        <f>AND(#REF!,"AAAAAHu9dHM=")</f>
        <v>#REF!</v>
      </c>
      <c r="DM12" t="e">
        <f>AND(#REF!,"AAAAAHu9dHQ=")</f>
        <v>#REF!</v>
      </c>
      <c r="DN12" t="e">
        <f>IF(#REF!,"AAAAAHu9dHU=",0)</f>
        <v>#REF!</v>
      </c>
      <c r="DO12" t="e">
        <f>AND(#REF!,"AAAAAHu9dHY=")</f>
        <v>#REF!</v>
      </c>
      <c r="DP12" t="e">
        <f>AND(#REF!,"AAAAAHu9dHc=")</f>
        <v>#REF!</v>
      </c>
      <c r="DQ12" t="e">
        <f>AND(#REF!,"AAAAAHu9dHg=")</f>
        <v>#REF!</v>
      </c>
      <c r="DR12" t="e">
        <f>AND(#REF!,"AAAAAHu9dHk=")</f>
        <v>#REF!</v>
      </c>
      <c r="DS12" t="e">
        <f>AND(#REF!,"AAAAAHu9dHo=")</f>
        <v>#REF!</v>
      </c>
      <c r="DT12" t="e">
        <f>IF(#REF!,"AAAAAHu9dHs=",0)</f>
        <v>#REF!</v>
      </c>
      <c r="DU12" t="e">
        <f>AND(#REF!,"AAAAAHu9dHw=")</f>
        <v>#REF!</v>
      </c>
      <c r="DV12" t="e">
        <f>AND(#REF!,"AAAAAHu9dH0=")</f>
        <v>#REF!</v>
      </c>
      <c r="DW12" t="e">
        <f>AND(#REF!,"AAAAAHu9dH4=")</f>
        <v>#REF!</v>
      </c>
      <c r="DX12" t="e">
        <f>AND(#REF!,"AAAAAHu9dH8=")</f>
        <v>#REF!</v>
      </c>
      <c r="DY12" t="e">
        <f>AND(#REF!,"AAAAAHu9dIA=")</f>
        <v>#REF!</v>
      </c>
      <c r="DZ12" t="e">
        <f>IF(#REF!,"AAAAAHu9dIE=",0)</f>
        <v>#REF!</v>
      </c>
      <c r="EA12" t="e">
        <f>AND(#REF!,"AAAAAHu9dII=")</f>
        <v>#REF!</v>
      </c>
      <c r="EB12" t="e">
        <f>AND(#REF!,"AAAAAHu9dIM=")</f>
        <v>#REF!</v>
      </c>
      <c r="EC12" t="e">
        <f>AND(#REF!,"AAAAAHu9dIQ=")</f>
        <v>#REF!</v>
      </c>
      <c r="ED12" t="e">
        <f>AND(#REF!,"AAAAAHu9dIU=")</f>
        <v>#REF!</v>
      </c>
      <c r="EE12" t="e">
        <f>AND(#REF!,"AAAAAHu9dIY=")</f>
        <v>#REF!</v>
      </c>
      <c r="EF12" t="e">
        <f>IF(#REF!,"AAAAAHu9dIc=",0)</f>
        <v>#REF!</v>
      </c>
      <c r="EG12" t="e">
        <f>AND(#REF!,"AAAAAHu9dIg=")</f>
        <v>#REF!</v>
      </c>
      <c r="EH12" t="e">
        <f>AND(#REF!,"AAAAAHu9dIk=")</f>
        <v>#REF!</v>
      </c>
      <c r="EI12" t="e">
        <f>AND(#REF!,"AAAAAHu9dIo=")</f>
        <v>#REF!</v>
      </c>
      <c r="EJ12" t="e">
        <f>AND(#REF!,"AAAAAHu9dIs=")</f>
        <v>#REF!</v>
      </c>
      <c r="EK12" t="e">
        <f>AND(#REF!,"AAAAAHu9dIw=")</f>
        <v>#REF!</v>
      </c>
      <c r="EL12" t="e">
        <f>IF(#REF!,"AAAAAHu9dI0=",0)</f>
        <v>#REF!</v>
      </c>
      <c r="EM12" t="e">
        <f>IF(#REF!,"AAAAAHu9dI4=",0)</f>
        <v>#REF!</v>
      </c>
      <c r="EN12" t="e">
        <f>IF(#REF!,"AAAAAHu9dI8=",0)</f>
        <v>#REF!</v>
      </c>
      <c r="EO12" t="e">
        <f>IF(#REF!,"AAAAAHu9dJA=",0)</f>
        <v>#REF!</v>
      </c>
      <c r="EP12" t="e">
        <f>IF(#REF!,"AAAAAHu9dJE=",0)</f>
        <v>#REF!</v>
      </c>
      <c r="EQ12" t="s">
        <v>1</v>
      </c>
    </row>
  </sheetData>
  <phoneticPr fontId="1"/>
  <pageMargins left="0.7" right="0.7" top="0.75" bottom="0.75" header="0.3" footer="0.3"/>
  <pageSetup paperSize="9" scale="9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G29"/>
  <sheetViews>
    <sheetView view="pageBreakPreview" zoomScaleSheetLayoutView="100" workbookViewId="0">
      <selection activeCell="G5" sqref="A2:G5"/>
    </sheetView>
  </sheetViews>
  <sheetFormatPr defaultRowHeight="13.5"/>
  <cols>
    <col min="1" max="1" width="12.75" customWidth="1"/>
    <col min="2" max="7" width="22.25" customWidth="1"/>
  </cols>
  <sheetData>
    <row r="1" spans="1:7" ht="23.25" customHeight="1">
      <c r="A1" s="44" t="s">
        <v>795</v>
      </c>
    </row>
    <row r="2" spans="1:7" s="50" customFormat="1" ht="23.25" customHeight="1">
      <c r="A2" s="51" t="s">
        <v>140</v>
      </c>
      <c r="B2" s="51" t="s">
        <v>147</v>
      </c>
      <c r="C2" s="51" t="s">
        <v>94</v>
      </c>
      <c r="D2" s="51" t="s">
        <v>145</v>
      </c>
      <c r="E2" s="51" t="s">
        <v>135</v>
      </c>
      <c r="F2" s="51" t="s">
        <v>123</v>
      </c>
      <c r="G2" s="51" t="s">
        <v>74</v>
      </c>
    </row>
    <row r="3" spans="1:7" s="43" customFormat="1" ht="157.5" customHeight="1">
      <c r="A3" s="52" t="s">
        <v>112</v>
      </c>
      <c r="B3" s="53" t="s">
        <v>968</v>
      </c>
      <c r="C3" s="54" t="s">
        <v>1012</v>
      </c>
      <c r="D3" s="54" t="s">
        <v>1007</v>
      </c>
      <c r="E3" s="54" t="s">
        <v>1279</v>
      </c>
      <c r="F3" s="54" t="s">
        <v>531</v>
      </c>
      <c r="G3" s="54" t="s">
        <v>859</v>
      </c>
    </row>
    <row r="4" spans="1:7" s="43" customFormat="1" ht="157.5" customHeight="1">
      <c r="A4" s="52" t="s">
        <v>746</v>
      </c>
      <c r="B4" s="53" t="s">
        <v>762</v>
      </c>
      <c r="C4" s="54" t="s">
        <v>1013</v>
      </c>
      <c r="D4" s="54" t="s">
        <v>579</v>
      </c>
      <c r="E4" s="54" t="s">
        <v>89</v>
      </c>
      <c r="F4" s="54" t="s">
        <v>412</v>
      </c>
      <c r="G4" s="54" t="s">
        <v>1015</v>
      </c>
    </row>
    <row r="5" spans="1:7" s="43" customFormat="1" ht="157.5" customHeight="1">
      <c r="A5" s="52" t="s">
        <v>750</v>
      </c>
      <c r="B5" s="53" t="s">
        <v>134</v>
      </c>
      <c r="C5" s="54" t="s">
        <v>1061</v>
      </c>
      <c r="D5" s="54" t="s">
        <v>1014</v>
      </c>
      <c r="E5" s="54" t="s">
        <v>220</v>
      </c>
      <c r="F5" s="54" t="s">
        <v>387</v>
      </c>
      <c r="G5" s="54" t="s">
        <v>375</v>
      </c>
    </row>
    <row r="7" spans="1:7" s="13" customFormat="1"/>
    <row r="8" spans="1:7" s="13" customFormat="1"/>
    <row r="9" spans="1:7" s="13" customFormat="1"/>
    <row r="10" spans="1:7" s="13" customFormat="1"/>
    <row r="11" spans="1:7" s="13" customFormat="1"/>
    <row r="12" spans="1:7" s="13" customFormat="1"/>
    <row r="13" spans="1:7" s="13" customFormat="1"/>
    <row r="14" spans="1:7" s="13" customFormat="1"/>
    <row r="15" spans="1:7" s="13" customFormat="1"/>
    <row r="16" spans="1:7" s="13" customFormat="1"/>
    <row r="17" s="13" customFormat="1"/>
    <row r="18" s="13" customFormat="1"/>
    <row r="19" s="13" customFormat="1"/>
    <row r="20" s="13" customFormat="1"/>
    <row r="21" s="13" customFormat="1"/>
    <row r="22" s="13" customFormat="1"/>
    <row r="23" s="13" customFormat="1"/>
    <row r="24" s="13" customFormat="1"/>
    <row r="25" s="13" customFormat="1"/>
    <row r="26" s="13" customFormat="1"/>
    <row r="27" s="13" customFormat="1"/>
    <row r="28" s="13" customFormat="1"/>
    <row r="29" s="13" customFormat="1"/>
  </sheetData>
  <phoneticPr fontId="1"/>
  <pageMargins left="0.7" right="0.7" top="0.75" bottom="0.75" header="0.3" footer="0.3"/>
  <pageSetup paperSize="9" scale="91" fitToWidth="1" fitToHeight="0" orientation="landscape"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Y36"/>
  <sheetViews>
    <sheetView showGridLines="0" view="pageBreakPreview" zoomScaleNormal="85" zoomScaleSheetLayoutView="100" workbookViewId="0">
      <selection activeCell="AK19" sqref="AK19:AO21"/>
    </sheetView>
  </sheetViews>
  <sheetFormatPr defaultRowHeight="13.5"/>
  <cols>
    <col min="1" max="45" width="3.125" style="13" customWidth="1"/>
    <col min="46" max="46" width="2.625" style="13" customWidth="1"/>
    <col min="47" max="62" width="3.125" style="13" customWidth="1"/>
    <col min="63" max="16384" width="9" style="13" customWidth="1"/>
  </cols>
  <sheetData>
    <row r="1" spans="1:51" ht="19.5" customHeight="1">
      <c r="A1" s="43" t="s">
        <v>275</v>
      </c>
    </row>
    <row r="2" spans="1:51" ht="18.75" customHeight="1">
      <c r="A2" s="44" t="s">
        <v>871</v>
      </c>
      <c r="AQ2" s="13" t="s">
        <v>157</v>
      </c>
    </row>
    <row r="3" spans="1:51" ht="18.75" customHeight="1">
      <c r="A3" s="55"/>
      <c r="B3" s="65"/>
      <c r="C3" s="65"/>
      <c r="D3" s="65"/>
      <c r="E3" s="65"/>
      <c r="F3" s="75"/>
      <c r="G3" s="85" t="s">
        <v>93</v>
      </c>
      <c r="H3" s="99"/>
      <c r="I3" s="99"/>
      <c r="J3" s="99"/>
      <c r="K3" s="99"/>
      <c r="L3" s="99" t="s">
        <v>67</v>
      </c>
      <c r="M3" s="99"/>
      <c r="N3" s="99"/>
      <c r="O3" s="99"/>
      <c r="P3" s="99"/>
      <c r="Q3" s="99" t="s">
        <v>39</v>
      </c>
      <c r="R3" s="99"/>
      <c r="S3" s="99"/>
      <c r="T3" s="99"/>
      <c r="U3" s="99"/>
      <c r="V3" s="99" t="s">
        <v>97</v>
      </c>
      <c r="W3" s="99"/>
      <c r="X3" s="99"/>
      <c r="Y3" s="99"/>
      <c r="Z3" s="99"/>
      <c r="AA3" s="169" t="s">
        <v>63</v>
      </c>
      <c r="AB3" s="99"/>
      <c r="AC3" s="99"/>
      <c r="AD3" s="99"/>
      <c r="AE3" s="99"/>
      <c r="AF3" s="99" t="s">
        <v>100</v>
      </c>
      <c r="AG3" s="99"/>
      <c r="AH3" s="99"/>
      <c r="AI3" s="99"/>
      <c r="AJ3" s="99"/>
      <c r="AK3" s="186"/>
      <c r="AL3" s="194"/>
      <c r="AM3" s="194"/>
      <c r="AN3" s="194"/>
      <c r="AO3" s="202"/>
      <c r="AP3" s="99"/>
      <c r="AQ3" s="99"/>
      <c r="AR3" s="99"/>
      <c r="AS3" s="99"/>
      <c r="AT3" s="128"/>
      <c r="AU3" s="211" t="s">
        <v>131</v>
      </c>
      <c r="AV3" s="221"/>
      <c r="AW3" s="221"/>
      <c r="AX3" s="221"/>
      <c r="AY3" s="225"/>
    </row>
    <row r="4" spans="1:51" ht="18.75" customHeight="1">
      <c r="A4" s="56"/>
      <c r="B4" s="66"/>
      <c r="C4" s="66"/>
      <c r="D4" s="66"/>
      <c r="E4" s="66"/>
      <c r="F4" s="76"/>
      <c r="G4" s="86"/>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187"/>
      <c r="AL4" s="195"/>
      <c r="AM4" s="195"/>
      <c r="AN4" s="195"/>
      <c r="AO4" s="203"/>
      <c r="AP4" s="51"/>
      <c r="AQ4" s="51"/>
      <c r="AR4" s="51"/>
      <c r="AS4" s="51"/>
      <c r="AT4" s="129"/>
      <c r="AU4" s="212"/>
      <c r="AV4" s="222"/>
      <c r="AW4" s="222"/>
      <c r="AX4" s="222"/>
      <c r="AY4" s="226"/>
    </row>
    <row r="5" spans="1:51" ht="19.5" customHeight="1">
      <c r="A5" s="57"/>
      <c r="B5" s="67"/>
      <c r="C5" s="67"/>
      <c r="D5" s="67"/>
      <c r="E5" s="67"/>
      <c r="F5" s="77"/>
      <c r="G5" s="87"/>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88"/>
      <c r="AL5" s="196"/>
      <c r="AM5" s="196"/>
      <c r="AN5" s="196"/>
      <c r="AO5" s="204"/>
      <c r="AP5" s="100"/>
      <c r="AQ5" s="100"/>
      <c r="AR5" s="100"/>
      <c r="AS5" s="100"/>
      <c r="AT5" s="130"/>
      <c r="AU5" s="213"/>
      <c r="AV5" s="223"/>
      <c r="AW5" s="223"/>
      <c r="AX5" s="223"/>
      <c r="AY5" s="227"/>
    </row>
    <row r="6" spans="1:51">
      <c r="A6" s="58" t="s">
        <v>6</v>
      </c>
      <c r="B6" s="68"/>
      <c r="C6" s="68"/>
      <c r="D6" s="68"/>
      <c r="E6" s="68"/>
      <c r="F6" s="78"/>
      <c r="G6" s="88">
        <v>5</v>
      </c>
      <c r="H6" s="101"/>
      <c r="I6" s="101"/>
      <c r="J6" s="101"/>
      <c r="K6" s="101"/>
      <c r="L6" s="101">
        <v>4</v>
      </c>
      <c r="M6" s="101"/>
      <c r="N6" s="101"/>
      <c r="O6" s="101"/>
      <c r="P6" s="101"/>
      <c r="Q6" s="101">
        <v>5</v>
      </c>
      <c r="R6" s="101"/>
      <c r="S6" s="101"/>
      <c r="T6" s="101"/>
      <c r="U6" s="101"/>
      <c r="V6" s="101">
        <v>5</v>
      </c>
      <c r="W6" s="101"/>
      <c r="X6" s="101"/>
      <c r="Y6" s="101"/>
      <c r="Z6" s="101"/>
      <c r="AA6" s="101">
        <v>5</v>
      </c>
      <c r="AB6" s="101"/>
      <c r="AC6" s="101"/>
      <c r="AD6" s="101"/>
      <c r="AE6" s="101"/>
      <c r="AF6" s="101">
        <v>5</v>
      </c>
      <c r="AG6" s="101"/>
      <c r="AH6" s="101"/>
      <c r="AI6" s="101"/>
      <c r="AJ6" s="101"/>
      <c r="AK6" s="189"/>
      <c r="AL6" s="197"/>
      <c r="AM6" s="197"/>
      <c r="AN6" s="197"/>
      <c r="AO6" s="205"/>
      <c r="AP6" s="101"/>
      <c r="AQ6" s="101"/>
      <c r="AR6" s="101"/>
      <c r="AS6" s="101"/>
      <c r="AT6" s="209"/>
      <c r="AU6" s="88" t="s">
        <v>662</v>
      </c>
      <c r="AV6" s="101"/>
      <c r="AW6" s="101"/>
      <c r="AX6" s="101"/>
      <c r="AY6" s="209"/>
    </row>
    <row r="7" spans="1:51">
      <c r="A7" s="59"/>
      <c r="B7" s="69"/>
      <c r="C7" s="69"/>
      <c r="D7" s="69"/>
      <c r="E7" s="69"/>
      <c r="F7" s="79"/>
      <c r="G7" s="89"/>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90"/>
      <c r="AL7" s="198"/>
      <c r="AM7" s="198"/>
      <c r="AN7" s="198"/>
      <c r="AO7" s="88"/>
      <c r="AP7" s="102"/>
      <c r="AQ7" s="102"/>
      <c r="AR7" s="102"/>
      <c r="AS7" s="102"/>
      <c r="AT7" s="210"/>
      <c r="AU7" s="89"/>
      <c r="AV7" s="102"/>
      <c r="AW7" s="102"/>
      <c r="AX7" s="102"/>
      <c r="AY7" s="210"/>
    </row>
    <row r="8" spans="1:51">
      <c r="A8" s="60" t="s">
        <v>1016</v>
      </c>
      <c r="B8" s="70"/>
      <c r="C8" s="70"/>
      <c r="D8" s="70"/>
      <c r="E8" s="70"/>
      <c r="F8" s="80"/>
      <c r="G8" s="90">
        <v>4</v>
      </c>
      <c r="H8" s="103"/>
      <c r="I8" s="103"/>
      <c r="J8" s="103"/>
      <c r="K8" s="103"/>
      <c r="L8" s="103">
        <v>5</v>
      </c>
      <c r="M8" s="103"/>
      <c r="N8" s="103"/>
      <c r="O8" s="103"/>
      <c r="P8" s="103"/>
      <c r="Q8" s="103">
        <v>4</v>
      </c>
      <c r="R8" s="103"/>
      <c r="S8" s="103"/>
      <c r="T8" s="103"/>
      <c r="U8" s="103"/>
      <c r="V8" s="103">
        <v>5</v>
      </c>
      <c r="W8" s="103"/>
      <c r="X8" s="103"/>
      <c r="Y8" s="103"/>
      <c r="Z8" s="103"/>
      <c r="AA8" s="103">
        <v>4</v>
      </c>
      <c r="AB8" s="103"/>
      <c r="AC8" s="103"/>
      <c r="AD8" s="103"/>
      <c r="AE8" s="103"/>
      <c r="AF8" s="103"/>
      <c r="AG8" s="103"/>
      <c r="AH8" s="103"/>
      <c r="AI8" s="103"/>
      <c r="AJ8" s="103"/>
      <c r="AK8" s="191"/>
      <c r="AL8" s="199"/>
      <c r="AM8" s="199"/>
      <c r="AN8" s="199"/>
      <c r="AO8" s="206"/>
      <c r="AP8" s="103"/>
      <c r="AQ8" s="103"/>
      <c r="AR8" s="103"/>
      <c r="AS8" s="103"/>
      <c r="AT8" s="133"/>
      <c r="AU8" s="90" t="s">
        <v>767</v>
      </c>
      <c r="AV8" s="103"/>
      <c r="AW8" s="103"/>
      <c r="AX8" s="103"/>
      <c r="AY8" s="133"/>
    </row>
    <row r="9" spans="1:51">
      <c r="A9" s="60"/>
      <c r="B9" s="70"/>
      <c r="C9" s="70"/>
      <c r="D9" s="70"/>
      <c r="E9" s="70"/>
      <c r="F9" s="80"/>
      <c r="G9" s="90"/>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92"/>
      <c r="AL9" s="200"/>
      <c r="AM9" s="200"/>
      <c r="AN9" s="200"/>
      <c r="AO9" s="207"/>
      <c r="AP9" s="103"/>
      <c r="AQ9" s="103"/>
      <c r="AR9" s="103"/>
      <c r="AS9" s="103"/>
      <c r="AT9" s="133"/>
      <c r="AU9" s="90"/>
      <c r="AV9" s="103"/>
      <c r="AW9" s="103"/>
      <c r="AX9" s="103"/>
      <c r="AY9" s="133"/>
    </row>
    <row r="10" spans="1:51">
      <c r="A10" s="61" t="s">
        <v>139</v>
      </c>
      <c r="B10" s="71"/>
      <c r="C10" s="71"/>
      <c r="D10" s="71"/>
      <c r="E10" s="71"/>
      <c r="F10" s="81"/>
      <c r="G10" s="91">
        <v>3</v>
      </c>
      <c r="H10" s="72"/>
      <c r="I10" s="72"/>
      <c r="J10" s="72"/>
      <c r="K10" s="72"/>
      <c r="L10" s="72">
        <v>2</v>
      </c>
      <c r="M10" s="72"/>
      <c r="N10" s="72"/>
      <c r="O10" s="72"/>
      <c r="P10" s="72"/>
      <c r="Q10" s="72">
        <v>3</v>
      </c>
      <c r="R10" s="72"/>
      <c r="S10" s="72"/>
      <c r="T10" s="72"/>
      <c r="U10" s="72"/>
      <c r="V10" s="72">
        <v>3</v>
      </c>
      <c r="W10" s="72"/>
      <c r="X10" s="72"/>
      <c r="Y10" s="72"/>
      <c r="Z10" s="72"/>
      <c r="AA10" s="72"/>
      <c r="AB10" s="72"/>
      <c r="AC10" s="72"/>
      <c r="AD10" s="72"/>
      <c r="AE10" s="72"/>
      <c r="AF10" s="72"/>
      <c r="AG10" s="72"/>
      <c r="AH10" s="72"/>
      <c r="AI10" s="72"/>
      <c r="AJ10" s="72"/>
      <c r="AK10" s="180"/>
      <c r="AL10" s="157"/>
      <c r="AM10" s="157"/>
      <c r="AN10" s="157"/>
      <c r="AO10" s="167"/>
      <c r="AP10" s="72"/>
      <c r="AQ10" s="72"/>
      <c r="AR10" s="72"/>
      <c r="AS10" s="72"/>
      <c r="AT10" s="82"/>
      <c r="AU10" s="91"/>
      <c r="AV10" s="72"/>
      <c r="AW10" s="72"/>
      <c r="AX10" s="72"/>
      <c r="AY10" s="82"/>
    </row>
    <row r="11" spans="1:51">
      <c r="A11" s="61"/>
      <c r="B11" s="71"/>
      <c r="C11" s="71"/>
      <c r="D11" s="71"/>
      <c r="E11" s="71"/>
      <c r="F11" s="81"/>
      <c r="G11" s="91"/>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193"/>
      <c r="AL11" s="201"/>
      <c r="AM11" s="201"/>
      <c r="AN11" s="201"/>
      <c r="AO11" s="208"/>
      <c r="AP11" s="72"/>
      <c r="AQ11" s="72"/>
      <c r="AR11" s="72"/>
      <c r="AS11" s="72"/>
      <c r="AT11" s="82"/>
      <c r="AU11" s="91"/>
      <c r="AV11" s="72"/>
      <c r="AW11" s="72"/>
      <c r="AX11" s="72"/>
      <c r="AY11" s="82"/>
    </row>
    <row r="12" spans="1:51">
      <c r="A12" s="61" t="s">
        <v>1019</v>
      </c>
      <c r="B12" s="71"/>
      <c r="C12" s="71"/>
      <c r="D12" s="71"/>
      <c r="E12" s="71"/>
      <c r="F12" s="81"/>
      <c r="G12" s="91">
        <v>2</v>
      </c>
      <c r="H12" s="72"/>
      <c r="I12" s="72"/>
      <c r="J12" s="72"/>
      <c r="K12" s="72"/>
      <c r="L12" s="72">
        <v>3</v>
      </c>
      <c r="M12" s="72"/>
      <c r="N12" s="72"/>
      <c r="O12" s="72"/>
      <c r="P12" s="72"/>
      <c r="Q12" s="72">
        <v>3</v>
      </c>
      <c r="R12" s="72"/>
      <c r="S12" s="72"/>
      <c r="T12" s="72"/>
      <c r="U12" s="72"/>
      <c r="V12" s="72">
        <v>4</v>
      </c>
      <c r="W12" s="72"/>
      <c r="X12" s="72"/>
      <c r="Y12" s="72"/>
      <c r="Z12" s="72"/>
      <c r="AA12" s="72"/>
      <c r="AB12" s="72"/>
      <c r="AC12" s="72"/>
      <c r="AD12" s="72"/>
      <c r="AE12" s="72"/>
      <c r="AF12" s="72"/>
      <c r="AG12" s="72"/>
      <c r="AH12" s="72"/>
      <c r="AI12" s="72"/>
      <c r="AJ12" s="72"/>
      <c r="AK12" s="180"/>
      <c r="AL12" s="157"/>
      <c r="AM12" s="157"/>
      <c r="AN12" s="157"/>
      <c r="AO12" s="167"/>
      <c r="AP12" s="72"/>
      <c r="AQ12" s="72"/>
      <c r="AR12" s="72"/>
      <c r="AS12" s="72"/>
      <c r="AT12" s="82"/>
      <c r="AU12" s="91"/>
      <c r="AV12" s="72"/>
      <c r="AW12" s="72"/>
      <c r="AX12" s="72"/>
      <c r="AY12" s="82"/>
    </row>
    <row r="13" spans="1:51">
      <c r="A13" s="61"/>
      <c r="B13" s="71"/>
      <c r="C13" s="71"/>
      <c r="D13" s="71"/>
      <c r="E13" s="71"/>
      <c r="F13" s="81"/>
      <c r="G13" s="91"/>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193"/>
      <c r="AL13" s="201"/>
      <c r="AM13" s="201"/>
      <c r="AN13" s="201"/>
      <c r="AO13" s="208"/>
      <c r="AP13" s="72"/>
      <c r="AQ13" s="72"/>
      <c r="AR13" s="72"/>
      <c r="AS13" s="72"/>
      <c r="AT13" s="82"/>
      <c r="AU13" s="91"/>
      <c r="AV13" s="72"/>
      <c r="AW13" s="72"/>
      <c r="AX13" s="72"/>
      <c r="AY13" s="82"/>
    </row>
    <row r="14" spans="1:51" ht="18.75" customHeight="1">
      <c r="A14" s="62"/>
      <c r="B14" s="72"/>
      <c r="C14" s="72"/>
      <c r="D14" s="72"/>
      <c r="E14" s="72"/>
      <c r="F14" s="82"/>
      <c r="G14" s="91"/>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180"/>
      <c r="AL14" s="157"/>
      <c r="AM14" s="157"/>
      <c r="AN14" s="157"/>
      <c r="AO14" s="167"/>
      <c r="AP14" s="72"/>
      <c r="AQ14" s="72"/>
      <c r="AR14" s="72"/>
      <c r="AS14" s="72"/>
      <c r="AT14" s="82"/>
      <c r="AU14" s="91"/>
      <c r="AV14" s="72"/>
      <c r="AW14" s="72"/>
      <c r="AX14" s="72"/>
      <c r="AY14" s="82"/>
    </row>
    <row r="15" spans="1:51" ht="15" customHeight="1">
      <c r="A15" s="63"/>
      <c r="B15" s="73"/>
      <c r="C15" s="73"/>
      <c r="D15" s="73"/>
      <c r="E15" s="73"/>
      <c r="F15" s="83"/>
      <c r="G15" s="92"/>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181"/>
      <c r="AL15" s="158"/>
      <c r="AM15" s="158"/>
      <c r="AN15" s="158"/>
      <c r="AO15" s="168"/>
      <c r="AP15" s="73"/>
      <c r="AQ15" s="73"/>
      <c r="AR15" s="73"/>
      <c r="AS15" s="73"/>
      <c r="AT15" s="83"/>
      <c r="AU15" s="92"/>
      <c r="AV15" s="73"/>
      <c r="AW15" s="73"/>
      <c r="AX15" s="73"/>
      <c r="AY15" s="83"/>
    </row>
    <row r="16" spans="1:51">
      <c r="B16" s="13" t="s">
        <v>91</v>
      </c>
      <c r="C16" s="13" t="s">
        <v>127</v>
      </c>
    </row>
    <row r="18" spans="1:51">
      <c r="A18" s="44" t="s">
        <v>185</v>
      </c>
    </row>
    <row r="19" spans="1:51" ht="13.5" customHeight="1">
      <c r="A19" s="64"/>
      <c r="B19" s="74"/>
      <c r="C19" s="74"/>
      <c r="D19" s="74"/>
      <c r="E19" s="74"/>
      <c r="F19" s="84"/>
      <c r="G19" s="93" t="s">
        <v>106</v>
      </c>
      <c r="H19" s="104"/>
      <c r="I19" s="104"/>
      <c r="J19" s="99"/>
      <c r="K19" s="110"/>
      <c r="L19" s="120" t="s">
        <v>325</v>
      </c>
      <c r="M19" s="99"/>
      <c r="N19" s="99"/>
      <c r="O19" s="99"/>
      <c r="P19" s="128"/>
      <c r="Q19" s="120" t="s">
        <v>1280</v>
      </c>
      <c r="R19" s="99"/>
      <c r="S19" s="99"/>
      <c r="T19" s="99"/>
      <c r="U19" s="128"/>
      <c r="V19" s="147" t="s">
        <v>753</v>
      </c>
      <c r="W19" s="147"/>
      <c r="X19" s="147"/>
      <c r="Y19" s="147"/>
      <c r="Z19" s="159"/>
      <c r="AA19" s="170" t="s">
        <v>1281</v>
      </c>
      <c r="AB19" s="147"/>
      <c r="AC19" s="147"/>
      <c r="AD19" s="147"/>
      <c r="AE19" s="159"/>
      <c r="AF19" s="170" t="s">
        <v>525</v>
      </c>
      <c r="AG19" s="147"/>
      <c r="AH19" s="147"/>
      <c r="AI19" s="147"/>
      <c r="AJ19" s="159"/>
      <c r="AK19" s="170" t="s">
        <v>1282</v>
      </c>
      <c r="AL19" s="194"/>
      <c r="AM19" s="194"/>
      <c r="AN19" s="194"/>
      <c r="AO19" s="202"/>
      <c r="AP19" s="99"/>
      <c r="AQ19" s="99"/>
      <c r="AR19" s="99"/>
      <c r="AS19" s="99"/>
      <c r="AT19" s="128"/>
      <c r="AU19" s="214" t="s">
        <v>276</v>
      </c>
      <c r="AV19" s="99"/>
      <c r="AW19" s="99"/>
      <c r="AX19" s="99"/>
      <c r="AY19" s="128"/>
    </row>
    <row r="20" spans="1:51" ht="18.75" customHeight="1">
      <c r="A20" s="56"/>
      <c r="B20" s="66"/>
      <c r="C20" s="66"/>
      <c r="D20" s="66"/>
      <c r="E20" s="66"/>
      <c r="F20" s="76"/>
      <c r="G20" s="86"/>
      <c r="H20" s="51"/>
      <c r="I20" s="51"/>
      <c r="J20" s="51"/>
      <c r="K20" s="111"/>
      <c r="L20" s="86"/>
      <c r="M20" s="51"/>
      <c r="N20" s="51"/>
      <c r="O20" s="51"/>
      <c r="P20" s="129"/>
      <c r="Q20" s="86"/>
      <c r="R20" s="51"/>
      <c r="S20" s="51"/>
      <c r="T20" s="51"/>
      <c r="U20" s="129"/>
      <c r="V20" s="148"/>
      <c r="W20" s="148"/>
      <c r="X20" s="148"/>
      <c r="Y20" s="148"/>
      <c r="Z20" s="160"/>
      <c r="AA20" s="171"/>
      <c r="AB20" s="148"/>
      <c r="AC20" s="148"/>
      <c r="AD20" s="148"/>
      <c r="AE20" s="160"/>
      <c r="AF20" s="171"/>
      <c r="AG20" s="148"/>
      <c r="AH20" s="148"/>
      <c r="AI20" s="148"/>
      <c r="AJ20" s="160"/>
      <c r="AK20" s="187"/>
      <c r="AL20" s="195"/>
      <c r="AM20" s="195"/>
      <c r="AN20" s="195"/>
      <c r="AO20" s="203"/>
      <c r="AP20" s="51"/>
      <c r="AQ20" s="51"/>
      <c r="AR20" s="51"/>
      <c r="AS20" s="51"/>
      <c r="AT20" s="129"/>
      <c r="AU20" s="215"/>
      <c r="AV20" s="51"/>
      <c r="AW20" s="51"/>
      <c r="AX20" s="51"/>
      <c r="AY20" s="129"/>
    </row>
    <row r="21" spans="1:51" ht="19.5" customHeight="1">
      <c r="A21" s="57"/>
      <c r="B21" s="67"/>
      <c r="C21" s="67"/>
      <c r="D21" s="67"/>
      <c r="E21" s="67"/>
      <c r="F21" s="77"/>
      <c r="G21" s="87"/>
      <c r="H21" s="100"/>
      <c r="I21" s="100"/>
      <c r="J21" s="100"/>
      <c r="K21" s="112"/>
      <c r="L21" s="87"/>
      <c r="M21" s="100"/>
      <c r="N21" s="100"/>
      <c r="O21" s="100"/>
      <c r="P21" s="130"/>
      <c r="Q21" s="87"/>
      <c r="R21" s="100"/>
      <c r="S21" s="100"/>
      <c r="T21" s="100"/>
      <c r="U21" s="130"/>
      <c r="V21" s="149"/>
      <c r="W21" s="149"/>
      <c r="X21" s="149"/>
      <c r="Y21" s="149"/>
      <c r="Z21" s="161"/>
      <c r="AA21" s="172"/>
      <c r="AB21" s="149"/>
      <c r="AC21" s="149"/>
      <c r="AD21" s="149"/>
      <c r="AE21" s="161"/>
      <c r="AF21" s="172"/>
      <c r="AG21" s="149"/>
      <c r="AH21" s="149"/>
      <c r="AI21" s="149"/>
      <c r="AJ21" s="161"/>
      <c r="AK21" s="188"/>
      <c r="AL21" s="196"/>
      <c r="AM21" s="196"/>
      <c r="AN21" s="196"/>
      <c r="AO21" s="204"/>
      <c r="AP21" s="100"/>
      <c r="AQ21" s="100"/>
      <c r="AR21" s="100"/>
      <c r="AS21" s="100"/>
      <c r="AT21" s="130"/>
      <c r="AU21" s="216"/>
      <c r="AV21" s="100"/>
      <c r="AW21" s="100"/>
      <c r="AX21" s="100"/>
      <c r="AY21" s="130"/>
    </row>
    <row r="22" spans="1:51">
      <c r="A22" s="58" t="s">
        <v>6</v>
      </c>
      <c r="B22" s="68"/>
      <c r="C22" s="68"/>
      <c r="D22" s="68"/>
      <c r="E22" s="68"/>
      <c r="F22" s="78"/>
      <c r="G22" s="94">
        <v>5</v>
      </c>
      <c r="H22" s="105"/>
      <c r="I22" s="105"/>
      <c r="J22" s="105"/>
      <c r="K22" s="113"/>
      <c r="L22" s="121" t="s">
        <v>722</v>
      </c>
      <c r="M22" s="125"/>
      <c r="N22" s="125"/>
      <c r="O22" s="125"/>
      <c r="P22" s="131"/>
      <c r="Q22" s="135">
        <v>0.4</v>
      </c>
      <c r="R22" s="105"/>
      <c r="S22" s="105"/>
      <c r="T22" s="105"/>
      <c r="U22" s="143"/>
      <c r="V22" s="150" t="s">
        <v>722</v>
      </c>
      <c r="W22" s="150"/>
      <c r="X22" s="150"/>
      <c r="Y22" s="150"/>
      <c r="Z22" s="162"/>
      <c r="AA22" s="173" t="s">
        <v>944</v>
      </c>
      <c r="AB22" s="150"/>
      <c r="AC22" s="150"/>
      <c r="AD22" s="150"/>
      <c r="AE22" s="162"/>
      <c r="AF22" s="173" t="s">
        <v>171</v>
      </c>
      <c r="AG22" s="150"/>
      <c r="AH22" s="150"/>
      <c r="AI22" s="150"/>
      <c r="AJ22" s="162"/>
      <c r="AK22" s="173" t="s">
        <v>593</v>
      </c>
      <c r="AL22" s="150"/>
      <c r="AM22" s="150"/>
      <c r="AN22" s="150"/>
      <c r="AO22" s="162"/>
      <c r="AP22" s="105"/>
      <c r="AQ22" s="105"/>
      <c r="AR22" s="105"/>
      <c r="AS22" s="105"/>
      <c r="AT22" s="143"/>
      <c r="AU22" s="217" t="s">
        <v>941</v>
      </c>
      <c r="AV22" s="105"/>
      <c r="AW22" s="105"/>
      <c r="AX22" s="105"/>
      <c r="AY22" s="143"/>
    </row>
    <row r="23" spans="1:51">
      <c r="A23" s="59"/>
      <c r="B23" s="69"/>
      <c r="C23" s="69"/>
      <c r="D23" s="69"/>
      <c r="E23" s="69"/>
      <c r="F23" s="79"/>
      <c r="G23" s="95"/>
      <c r="H23" s="106"/>
      <c r="I23" s="106"/>
      <c r="J23" s="106"/>
      <c r="K23" s="114"/>
      <c r="L23" s="59"/>
      <c r="M23" s="69"/>
      <c r="N23" s="69"/>
      <c r="O23" s="69"/>
      <c r="P23" s="79"/>
      <c r="Q23" s="136"/>
      <c r="R23" s="106"/>
      <c r="S23" s="106"/>
      <c r="T23" s="106"/>
      <c r="U23" s="144"/>
      <c r="V23" s="151"/>
      <c r="W23" s="151"/>
      <c r="X23" s="151"/>
      <c r="Y23" s="151"/>
      <c r="Z23" s="94"/>
      <c r="AA23" s="174"/>
      <c r="AB23" s="182"/>
      <c r="AC23" s="182"/>
      <c r="AD23" s="182"/>
      <c r="AE23" s="184"/>
      <c r="AF23" s="113"/>
      <c r="AG23" s="151"/>
      <c r="AH23" s="151"/>
      <c r="AI23" s="151"/>
      <c r="AJ23" s="94"/>
      <c r="AK23" s="113"/>
      <c r="AL23" s="151"/>
      <c r="AM23" s="151"/>
      <c r="AN23" s="151"/>
      <c r="AO23" s="94"/>
      <c r="AP23" s="106"/>
      <c r="AQ23" s="106"/>
      <c r="AR23" s="106"/>
      <c r="AS23" s="106"/>
      <c r="AT23" s="144"/>
      <c r="AU23" s="95"/>
      <c r="AV23" s="106"/>
      <c r="AW23" s="106"/>
      <c r="AX23" s="106"/>
      <c r="AY23" s="144"/>
    </row>
    <row r="24" spans="1:51">
      <c r="A24" s="60" t="s">
        <v>1016</v>
      </c>
      <c r="B24" s="70"/>
      <c r="C24" s="70"/>
      <c r="D24" s="70"/>
      <c r="E24" s="70"/>
      <c r="F24" s="80"/>
      <c r="G24" s="96">
        <v>4</v>
      </c>
      <c r="H24" s="107"/>
      <c r="I24" s="107"/>
      <c r="J24" s="107"/>
      <c r="K24" s="115"/>
      <c r="L24" s="60" t="s">
        <v>1020</v>
      </c>
      <c r="M24" s="70"/>
      <c r="N24" s="70"/>
      <c r="O24" s="70"/>
      <c r="P24" s="80"/>
      <c r="Q24" s="137">
        <v>0.3</v>
      </c>
      <c r="R24" s="142"/>
      <c r="S24" s="142"/>
      <c r="T24" s="142"/>
      <c r="U24" s="145"/>
      <c r="V24" s="152" t="s">
        <v>1021</v>
      </c>
      <c r="W24" s="152"/>
      <c r="X24" s="152"/>
      <c r="Y24" s="152"/>
      <c r="Z24" s="163"/>
      <c r="AA24" s="175" t="s">
        <v>944</v>
      </c>
      <c r="AB24" s="152"/>
      <c r="AC24" s="152"/>
      <c r="AD24" s="152"/>
      <c r="AE24" s="163"/>
      <c r="AF24" s="175" t="s">
        <v>171</v>
      </c>
      <c r="AG24" s="152"/>
      <c r="AH24" s="152"/>
      <c r="AI24" s="152"/>
      <c r="AJ24" s="163"/>
      <c r="AK24" s="175"/>
      <c r="AL24" s="152"/>
      <c r="AM24" s="152"/>
      <c r="AN24" s="152"/>
      <c r="AO24" s="163"/>
      <c r="AP24" s="142"/>
      <c r="AQ24" s="142"/>
      <c r="AR24" s="142"/>
      <c r="AS24" s="142"/>
      <c r="AT24" s="145"/>
      <c r="AU24" s="218"/>
      <c r="AV24" s="142"/>
      <c r="AW24" s="142"/>
      <c r="AX24" s="142"/>
      <c r="AY24" s="145"/>
    </row>
    <row r="25" spans="1:51">
      <c r="A25" s="60"/>
      <c r="B25" s="70"/>
      <c r="C25" s="70"/>
      <c r="D25" s="70"/>
      <c r="E25" s="70"/>
      <c r="F25" s="80"/>
      <c r="G25" s="96"/>
      <c r="H25" s="107"/>
      <c r="I25" s="107"/>
      <c r="J25" s="107"/>
      <c r="K25" s="115"/>
      <c r="L25" s="60"/>
      <c r="M25" s="70"/>
      <c r="N25" s="70"/>
      <c r="O25" s="70"/>
      <c r="P25" s="80"/>
      <c r="Q25" s="138"/>
      <c r="R25" s="142"/>
      <c r="S25" s="142"/>
      <c r="T25" s="142"/>
      <c r="U25" s="145"/>
      <c r="V25" s="153"/>
      <c r="W25" s="153"/>
      <c r="X25" s="153"/>
      <c r="Y25" s="153"/>
      <c r="Z25" s="164"/>
      <c r="AA25" s="176"/>
      <c r="AB25" s="153"/>
      <c r="AC25" s="153"/>
      <c r="AD25" s="153"/>
      <c r="AE25" s="164"/>
      <c r="AF25" s="176"/>
      <c r="AG25" s="153"/>
      <c r="AH25" s="153"/>
      <c r="AI25" s="153"/>
      <c r="AJ25" s="164"/>
      <c r="AK25" s="176"/>
      <c r="AL25" s="153"/>
      <c r="AM25" s="153"/>
      <c r="AN25" s="153"/>
      <c r="AO25" s="164"/>
      <c r="AP25" s="142"/>
      <c r="AQ25" s="142"/>
      <c r="AR25" s="142"/>
      <c r="AS25" s="142"/>
      <c r="AT25" s="145"/>
      <c r="AU25" s="219"/>
      <c r="AV25" s="142"/>
      <c r="AW25" s="142"/>
      <c r="AX25" s="142"/>
      <c r="AY25" s="145"/>
    </row>
    <row r="26" spans="1:51">
      <c r="A26" s="61" t="s">
        <v>139</v>
      </c>
      <c r="B26" s="71"/>
      <c r="C26" s="71"/>
      <c r="D26" s="71"/>
      <c r="E26" s="71"/>
      <c r="F26" s="81"/>
      <c r="G26" s="97"/>
      <c r="H26" s="108"/>
      <c r="I26" s="108"/>
      <c r="J26" s="108"/>
      <c r="K26" s="116"/>
      <c r="L26" s="122"/>
      <c r="M26" s="126"/>
      <c r="N26" s="126"/>
      <c r="O26" s="126"/>
      <c r="P26" s="132"/>
      <c r="Q26" s="139"/>
      <c r="R26" s="109"/>
      <c r="S26" s="109"/>
      <c r="T26" s="109"/>
      <c r="U26" s="146"/>
      <c r="V26" s="154"/>
      <c r="W26" s="154"/>
      <c r="X26" s="154"/>
      <c r="Y26" s="154"/>
      <c r="Z26" s="165"/>
      <c r="AA26" s="177"/>
      <c r="AB26" s="183"/>
      <c r="AC26" s="183"/>
      <c r="AD26" s="183"/>
      <c r="AE26" s="185"/>
      <c r="AF26" s="179"/>
      <c r="AG26" s="154"/>
      <c r="AH26" s="154"/>
      <c r="AI26" s="154"/>
      <c r="AJ26" s="165"/>
      <c r="AK26" s="179"/>
      <c r="AL26" s="154"/>
      <c r="AM26" s="154"/>
      <c r="AN26" s="154"/>
      <c r="AO26" s="165"/>
      <c r="AP26" s="109"/>
      <c r="AQ26" s="109"/>
      <c r="AR26" s="109"/>
      <c r="AS26" s="109"/>
      <c r="AT26" s="146"/>
      <c r="AU26" s="220" t="s">
        <v>623</v>
      </c>
      <c r="AV26" s="72"/>
      <c r="AW26" s="72"/>
      <c r="AX26" s="72"/>
      <c r="AY26" s="82"/>
    </row>
    <row r="27" spans="1:51">
      <c r="A27" s="61"/>
      <c r="B27" s="71"/>
      <c r="C27" s="71"/>
      <c r="D27" s="71"/>
      <c r="E27" s="71"/>
      <c r="F27" s="81"/>
      <c r="G27" s="97"/>
      <c r="H27" s="108"/>
      <c r="I27" s="108"/>
      <c r="J27" s="108"/>
      <c r="K27" s="116"/>
      <c r="L27" s="122"/>
      <c r="M27" s="126"/>
      <c r="N27" s="126"/>
      <c r="O27" s="126"/>
      <c r="P27" s="132"/>
      <c r="Q27" s="140"/>
      <c r="R27" s="109"/>
      <c r="S27" s="109"/>
      <c r="T27" s="109"/>
      <c r="U27" s="146"/>
      <c r="V27" s="155"/>
      <c r="W27" s="155"/>
      <c r="X27" s="155"/>
      <c r="Y27" s="155"/>
      <c r="Z27" s="166"/>
      <c r="AA27" s="178"/>
      <c r="AB27" s="155"/>
      <c r="AC27" s="155"/>
      <c r="AD27" s="155"/>
      <c r="AE27" s="166"/>
      <c r="AF27" s="178"/>
      <c r="AG27" s="155"/>
      <c r="AH27" s="155"/>
      <c r="AI27" s="155"/>
      <c r="AJ27" s="166"/>
      <c r="AK27" s="178"/>
      <c r="AL27" s="155"/>
      <c r="AM27" s="155"/>
      <c r="AN27" s="155"/>
      <c r="AO27" s="166"/>
      <c r="AP27" s="109"/>
      <c r="AQ27" s="109"/>
      <c r="AR27" s="109"/>
      <c r="AS27" s="109"/>
      <c r="AT27" s="146"/>
      <c r="AU27" s="91"/>
      <c r="AV27" s="72"/>
      <c r="AW27" s="72"/>
      <c r="AX27" s="72"/>
      <c r="AY27" s="82"/>
    </row>
    <row r="28" spans="1:51" ht="22.5" customHeight="1">
      <c r="A28" s="61" t="s">
        <v>1019</v>
      </c>
      <c r="B28" s="71"/>
      <c r="C28" s="71"/>
      <c r="D28" s="71"/>
      <c r="E28" s="71"/>
      <c r="F28" s="81"/>
      <c r="G28" s="98"/>
      <c r="H28" s="109"/>
      <c r="I28" s="109"/>
      <c r="J28" s="109"/>
      <c r="K28" s="117"/>
      <c r="L28" s="122"/>
      <c r="M28" s="126"/>
      <c r="N28" s="126"/>
      <c r="O28" s="126"/>
      <c r="P28" s="132"/>
      <c r="Q28" s="141"/>
      <c r="R28" s="109"/>
      <c r="S28" s="109"/>
      <c r="T28" s="109"/>
      <c r="U28" s="146"/>
      <c r="V28" s="156"/>
      <c r="W28" s="154"/>
      <c r="X28" s="154"/>
      <c r="Y28" s="154"/>
      <c r="Z28" s="165"/>
      <c r="AA28" s="179"/>
      <c r="AB28" s="154"/>
      <c r="AC28" s="154"/>
      <c r="AD28" s="154"/>
      <c r="AE28" s="165"/>
      <c r="AF28" s="179"/>
      <c r="AG28" s="154"/>
      <c r="AH28" s="154"/>
      <c r="AI28" s="154"/>
      <c r="AJ28" s="165"/>
      <c r="AK28" s="179"/>
      <c r="AL28" s="154"/>
      <c r="AM28" s="154"/>
      <c r="AN28" s="154"/>
      <c r="AO28" s="165"/>
      <c r="AP28" s="109"/>
      <c r="AQ28" s="109"/>
      <c r="AR28" s="109"/>
      <c r="AS28" s="109"/>
      <c r="AT28" s="146"/>
      <c r="AU28" s="220" t="s">
        <v>1023</v>
      </c>
      <c r="AV28" s="224"/>
      <c r="AW28" s="224"/>
      <c r="AX28" s="224"/>
      <c r="AY28" s="228"/>
    </row>
    <row r="29" spans="1:51" ht="22.5" customHeight="1">
      <c r="A29" s="61"/>
      <c r="B29" s="71"/>
      <c r="C29" s="71"/>
      <c r="D29" s="71"/>
      <c r="E29" s="71"/>
      <c r="F29" s="81"/>
      <c r="G29" s="98"/>
      <c r="H29" s="109"/>
      <c r="I29" s="109"/>
      <c r="J29" s="109"/>
      <c r="K29" s="117"/>
      <c r="L29" s="122"/>
      <c r="M29" s="126"/>
      <c r="N29" s="126"/>
      <c r="O29" s="126"/>
      <c r="P29" s="132"/>
      <c r="Q29" s="140"/>
      <c r="R29" s="109"/>
      <c r="S29" s="109"/>
      <c r="T29" s="109"/>
      <c r="U29" s="146"/>
      <c r="V29" s="155"/>
      <c r="W29" s="155"/>
      <c r="X29" s="155"/>
      <c r="Y29" s="155"/>
      <c r="Z29" s="166"/>
      <c r="AA29" s="178"/>
      <c r="AB29" s="155"/>
      <c r="AC29" s="155"/>
      <c r="AD29" s="155"/>
      <c r="AE29" s="166"/>
      <c r="AF29" s="178"/>
      <c r="AG29" s="155"/>
      <c r="AH29" s="155"/>
      <c r="AI29" s="155"/>
      <c r="AJ29" s="166"/>
      <c r="AK29" s="178"/>
      <c r="AL29" s="155"/>
      <c r="AM29" s="155"/>
      <c r="AN29" s="155"/>
      <c r="AO29" s="166"/>
      <c r="AP29" s="109"/>
      <c r="AQ29" s="109"/>
      <c r="AR29" s="109"/>
      <c r="AS29" s="109"/>
      <c r="AT29" s="146"/>
      <c r="AU29" s="220"/>
      <c r="AV29" s="224"/>
      <c r="AW29" s="224"/>
      <c r="AX29" s="224"/>
      <c r="AY29" s="228"/>
    </row>
    <row r="30" spans="1:51" ht="18.75" customHeight="1">
      <c r="A30" s="62"/>
      <c r="B30" s="72"/>
      <c r="C30" s="72"/>
      <c r="D30" s="72"/>
      <c r="E30" s="72"/>
      <c r="F30" s="82"/>
      <c r="G30" s="91"/>
      <c r="H30" s="72"/>
      <c r="I30" s="72"/>
      <c r="J30" s="72"/>
      <c r="K30" s="118"/>
      <c r="L30" s="123"/>
      <c r="M30" s="103"/>
      <c r="N30" s="103"/>
      <c r="O30" s="103"/>
      <c r="P30" s="133"/>
      <c r="Q30" s="62"/>
      <c r="R30" s="72"/>
      <c r="S30" s="72"/>
      <c r="T30" s="72"/>
      <c r="U30" s="82"/>
      <c r="V30" s="157"/>
      <c r="W30" s="157"/>
      <c r="X30" s="157"/>
      <c r="Y30" s="157"/>
      <c r="Z30" s="167"/>
      <c r="AA30" s="180"/>
      <c r="AB30" s="157"/>
      <c r="AC30" s="157"/>
      <c r="AD30" s="157"/>
      <c r="AE30" s="167"/>
      <c r="AF30" s="180"/>
      <c r="AG30" s="157"/>
      <c r="AH30" s="157"/>
      <c r="AI30" s="157"/>
      <c r="AJ30" s="167"/>
      <c r="AK30" s="180"/>
      <c r="AL30" s="157"/>
      <c r="AM30" s="157"/>
      <c r="AN30" s="157"/>
      <c r="AO30" s="167"/>
      <c r="AP30" s="72"/>
      <c r="AQ30" s="72"/>
      <c r="AR30" s="72"/>
      <c r="AS30" s="72"/>
      <c r="AT30" s="82"/>
      <c r="AU30" s="91"/>
      <c r="AV30" s="72"/>
      <c r="AW30" s="72"/>
      <c r="AX30" s="72"/>
      <c r="AY30" s="82"/>
    </row>
    <row r="31" spans="1:51" ht="19.5" customHeight="1">
      <c r="A31" s="63"/>
      <c r="B31" s="73"/>
      <c r="C31" s="73"/>
      <c r="D31" s="73"/>
      <c r="E31" s="73"/>
      <c r="F31" s="83"/>
      <c r="G31" s="92"/>
      <c r="H31" s="73"/>
      <c r="I31" s="73"/>
      <c r="J31" s="73"/>
      <c r="K31" s="119"/>
      <c r="L31" s="124"/>
      <c r="M31" s="127"/>
      <c r="N31" s="127"/>
      <c r="O31" s="127"/>
      <c r="P31" s="134"/>
      <c r="Q31" s="63"/>
      <c r="R31" s="73"/>
      <c r="S31" s="73"/>
      <c r="T31" s="73"/>
      <c r="U31" s="83"/>
      <c r="V31" s="158"/>
      <c r="W31" s="158"/>
      <c r="X31" s="158"/>
      <c r="Y31" s="158"/>
      <c r="Z31" s="168"/>
      <c r="AA31" s="181"/>
      <c r="AB31" s="158"/>
      <c r="AC31" s="158"/>
      <c r="AD31" s="158"/>
      <c r="AE31" s="168"/>
      <c r="AF31" s="181"/>
      <c r="AG31" s="158"/>
      <c r="AH31" s="158"/>
      <c r="AI31" s="158"/>
      <c r="AJ31" s="168"/>
      <c r="AK31" s="181"/>
      <c r="AL31" s="158"/>
      <c r="AM31" s="158"/>
      <c r="AN31" s="158"/>
      <c r="AO31" s="168"/>
      <c r="AP31" s="73"/>
      <c r="AQ31" s="73"/>
      <c r="AR31" s="73"/>
      <c r="AS31" s="73"/>
      <c r="AT31" s="83"/>
      <c r="AU31" s="92"/>
      <c r="AV31" s="73"/>
      <c r="AW31" s="73"/>
      <c r="AX31" s="73"/>
      <c r="AY31" s="83"/>
    </row>
    <row r="32" spans="1:51">
      <c r="B32" s="13" t="s">
        <v>91</v>
      </c>
      <c r="C32" s="13" t="s">
        <v>110</v>
      </c>
    </row>
    <row r="33" spans="3:3">
      <c r="C33" s="13" t="s">
        <v>29</v>
      </c>
    </row>
    <row r="34" spans="3:3">
      <c r="C34" s="13" t="s">
        <v>114</v>
      </c>
    </row>
    <row r="35" spans="3:3">
      <c r="C35" s="13" t="s">
        <v>119</v>
      </c>
    </row>
    <row r="36" spans="3:3">
      <c r="C36" s="13" t="s">
        <v>120</v>
      </c>
    </row>
  </sheetData>
  <mergeCells count="120">
    <mergeCell ref="A3:F5"/>
    <mergeCell ref="G3:K5"/>
    <mergeCell ref="L3:P5"/>
    <mergeCell ref="Q3:U5"/>
    <mergeCell ref="V3:Z5"/>
    <mergeCell ref="AA3:AE5"/>
    <mergeCell ref="AF3:AJ5"/>
    <mergeCell ref="AK3:AO5"/>
    <mergeCell ref="AP3:AT5"/>
    <mergeCell ref="AU3:AY5"/>
    <mergeCell ref="A6:F7"/>
    <mergeCell ref="G6:K7"/>
    <mergeCell ref="L6:P7"/>
    <mergeCell ref="Q6:U7"/>
    <mergeCell ref="V6:Z7"/>
    <mergeCell ref="AA6:AE7"/>
    <mergeCell ref="AF6:AJ7"/>
    <mergeCell ref="AK6:AO7"/>
    <mergeCell ref="AP6:AT7"/>
    <mergeCell ref="AU6:AY7"/>
    <mergeCell ref="A8:F9"/>
    <mergeCell ref="G8:K9"/>
    <mergeCell ref="L8:P9"/>
    <mergeCell ref="Q8:U9"/>
    <mergeCell ref="V8:Z9"/>
    <mergeCell ref="AA8:AE9"/>
    <mergeCell ref="AF8:AJ9"/>
    <mergeCell ref="AK8:AO9"/>
    <mergeCell ref="AP8:AT9"/>
    <mergeCell ref="AU8:AY9"/>
    <mergeCell ref="A10:F11"/>
    <mergeCell ref="G10:K11"/>
    <mergeCell ref="L10:P11"/>
    <mergeCell ref="Q10:U11"/>
    <mergeCell ref="V10:Z11"/>
    <mergeCell ref="AA10:AE11"/>
    <mergeCell ref="AF10:AJ11"/>
    <mergeCell ref="AK10:AO11"/>
    <mergeCell ref="AP10:AT11"/>
    <mergeCell ref="AU10:AY11"/>
    <mergeCell ref="A12:F13"/>
    <mergeCell ref="G12:K13"/>
    <mergeCell ref="L12:P13"/>
    <mergeCell ref="Q12:U13"/>
    <mergeCell ref="V12:Z13"/>
    <mergeCell ref="AA12:AE13"/>
    <mergeCell ref="AF12:AJ13"/>
    <mergeCell ref="AK12:AO13"/>
    <mergeCell ref="AP12:AT13"/>
    <mergeCell ref="AU12:AY13"/>
    <mergeCell ref="A14:F15"/>
    <mergeCell ref="G14:K15"/>
    <mergeCell ref="L14:P15"/>
    <mergeCell ref="Q14:U15"/>
    <mergeCell ref="V14:Z15"/>
    <mergeCell ref="AA14:AE15"/>
    <mergeCell ref="AF14:AJ15"/>
    <mergeCell ref="AK14:AO15"/>
    <mergeCell ref="AP14:AT15"/>
    <mergeCell ref="AU14:AY15"/>
    <mergeCell ref="A19:F21"/>
    <mergeCell ref="G19:K21"/>
    <mergeCell ref="L19:P21"/>
    <mergeCell ref="Q19:U21"/>
    <mergeCell ref="V19:Z21"/>
    <mergeCell ref="AA19:AE21"/>
    <mergeCell ref="AF19:AJ21"/>
    <mergeCell ref="AK19:AO21"/>
    <mergeCell ref="AP19:AT21"/>
    <mergeCell ref="AU19:AY21"/>
    <mergeCell ref="A22:F23"/>
    <mergeCell ref="G22:K23"/>
    <mergeCell ref="L22:P23"/>
    <mergeCell ref="Q22:U23"/>
    <mergeCell ref="V22:Z23"/>
    <mergeCell ref="AA22:AE23"/>
    <mergeCell ref="AF22:AJ23"/>
    <mergeCell ref="AK22:AO23"/>
    <mergeCell ref="AP22:AT23"/>
    <mergeCell ref="AU22:AY23"/>
    <mergeCell ref="A24:F25"/>
    <mergeCell ref="G24:K25"/>
    <mergeCell ref="L24:P25"/>
    <mergeCell ref="Q24:U25"/>
    <mergeCell ref="V24:Z25"/>
    <mergeCell ref="AA24:AE25"/>
    <mergeCell ref="AF24:AJ25"/>
    <mergeCell ref="AK24:AO25"/>
    <mergeCell ref="AP24:AT25"/>
    <mergeCell ref="AU24:AY25"/>
    <mergeCell ref="A26:F27"/>
    <mergeCell ref="G26:K27"/>
    <mergeCell ref="L26:P27"/>
    <mergeCell ref="Q26:U27"/>
    <mergeCell ref="V26:Z27"/>
    <mergeCell ref="AA26:AE27"/>
    <mergeCell ref="AF26:AJ27"/>
    <mergeCell ref="AK26:AO27"/>
    <mergeCell ref="AP26:AT27"/>
    <mergeCell ref="AU26:AY27"/>
    <mergeCell ref="A28:F29"/>
    <mergeCell ref="G28:K29"/>
    <mergeCell ref="L28:P29"/>
    <mergeCell ref="Q28:U29"/>
    <mergeCell ref="V28:Z29"/>
    <mergeCell ref="AA28:AE29"/>
    <mergeCell ref="AF28:AJ29"/>
    <mergeCell ref="AK28:AO29"/>
    <mergeCell ref="AP28:AT29"/>
    <mergeCell ref="AU28:AY29"/>
    <mergeCell ref="A30:F31"/>
    <mergeCell ref="G30:K31"/>
    <mergeCell ref="L30:P31"/>
    <mergeCell ref="Q30:U31"/>
    <mergeCell ref="V30:Z31"/>
    <mergeCell ref="AA30:AE31"/>
    <mergeCell ref="AF30:AJ31"/>
    <mergeCell ref="AK30:AO31"/>
    <mergeCell ref="AP30:AT31"/>
    <mergeCell ref="AU30:AY31"/>
  </mergeCells>
  <phoneticPr fontId="1"/>
  <pageMargins left="0.62992125984251968" right="0.23622047244094491" top="0.15748031496062992" bottom="0.15748031496062992" header="0" footer="0"/>
  <pageSetup paperSize="9" scale="88"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J55"/>
  <sheetViews>
    <sheetView showGridLines="0" view="pageBreakPreview" zoomScale="60" zoomScaleNormal="70" workbookViewId="0">
      <selection activeCell="A4" sqref="A4:J21"/>
    </sheetView>
  </sheetViews>
  <sheetFormatPr defaultRowHeight="13.5"/>
  <cols>
    <col min="1" max="1" width="18.375" customWidth="1"/>
    <col min="2" max="2" width="19.75" customWidth="1"/>
    <col min="3" max="3" width="44.75" customWidth="1"/>
    <col min="4" max="4" width="11.875" customWidth="1"/>
    <col min="5" max="9" width="16.125" customWidth="1"/>
    <col min="10" max="10" width="16.625" customWidth="1"/>
  </cols>
  <sheetData>
    <row r="1" spans="1:10" ht="21">
      <c r="A1" s="43" t="s">
        <v>62</v>
      </c>
      <c r="B1" s="233"/>
    </row>
    <row r="2" spans="1:10" ht="24" customHeight="1">
      <c r="E2" s="242" t="s">
        <v>751</v>
      </c>
      <c r="F2" s="242"/>
      <c r="G2" s="242"/>
      <c r="H2" s="242"/>
      <c r="I2" s="242"/>
    </row>
    <row r="3" spans="1:10" ht="34.5" customHeight="1">
      <c r="A3" s="229" t="s">
        <v>60</v>
      </c>
      <c r="B3" s="229" t="s">
        <v>37</v>
      </c>
      <c r="C3" s="229" t="s">
        <v>87</v>
      </c>
      <c r="D3" s="240" t="s">
        <v>881</v>
      </c>
      <c r="E3" s="229" t="s">
        <v>70</v>
      </c>
      <c r="F3" s="229" t="s">
        <v>2</v>
      </c>
      <c r="G3" s="229" t="s">
        <v>56</v>
      </c>
      <c r="H3" s="240" t="s">
        <v>78</v>
      </c>
      <c r="I3" s="229" t="s">
        <v>80</v>
      </c>
      <c r="J3" s="240" t="s">
        <v>882</v>
      </c>
    </row>
    <row r="4" spans="1:10" ht="50.25" customHeight="1">
      <c r="A4" s="230" t="s">
        <v>1024</v>
      </c>
      <c r="B4" s="234" t="s">
        <v>1039</v>
      </c>
      <c r="C4" s="237" t="s">
        <v>652</v>
      </c>
      <c r="D4" s="241" t="s">
        <v>678</v>
      </c>
      <c r="E4" s="243" t="s">
        <v>188</v>
      </c>
      <c r="F4" s="241" t="s">
        <v>383</v>
      </c>
      <c r="G4" s="241" t="s">
        <v>383</v>
      </c>
      <c r="H4" s="245" t="s">
        <v>1056</v>
      </c>
      <c r="I4" s="241" t="s">
        <v>383</v>
      </c>
      <c r="J4" s="241" t="s">
        <v>773</v>
      </c>
    </row>
    <row r="5" spans="1:10" ht="30" customHeight="1">
      <c r="A5" s="231" t="s">
        <v>1026</v>
      </c>
      <c r="B5" s="234" t="s">
        <v>1039</v>
      </c>
      <c r="C5" s="2" t="s">
        <v>672</v>
      </c>
      <c r="D5" s="72" t="s">
        <v>383</v>
      </c>
      <c r="E5" s="244" t="s">
        <v>878</v>
      </c>
      <c r="F5" s="72" t="s">
        <v>974</v>
      </c>
      <c r="G5" s="224" t="s">
        <v>860</v>
      </c>
      <c r="H5" s="224" t="s">
        <v>974</v>
      </c>
      <c r="I5" s="72"/>
      <c r="J5" s="72" t="s">
        <v>773</v>
      </c>
    </row>
    <row r="6" spans="1:10" ht="30" customHeight="1">
      <c r="A6" s="231" t="s">
        <v>1027</v>
      </c>
      <c r="B6" s="234" t="s">
        <v>1039</v>
      </c>
      <c r="C6" s="2" t="s">
        <v>672</v>
      </c>
      <c r="D6" s="72" t="s">
        <v>383</v>
      </c>
      <c r="E6" s="244" t="s">
        <v>843</v>
      </c>
      <c r="F6" s="72" t="s">
        <v>974</v>
      </c>
      <c r="G6" s="244" t="s">
        <v>860</v>
      </c>
      <c r="H6" s="224" t="s">
        <v>974</v>
      </c>
      <c r="I6" s="72"/>
      <c r="J6" s="72" t="s">
        <v>773</v>
      </c>
    </row>
    <row r="7" spans="1:10" ht="30" customHeight="1">
      <c r="A7" s="231" t="s">
        <v>1028</v>
      </c>
      <c r="B7" s="234" t="s">
        <v>1039</v>
      </c>
      <c r="C7" s="2" t="s">
        <v>429</v>
      </c>
      <c r="D7" s="72" t="s">
        <v>383</v>
      </c>
      <c r="E7" s="244" t="s">
        <v>536</v>
      </c>
      <c r="F7" s="72" t="s">
        <v>1051</v>
      </c>
      <c r="G7" s="224"/>
      <c r="H7" s="224"/>
      <c r="I7" s="72"/>
      <c r="J7" s="72"/>
    </row>
    <row r="8" spans="1:10" ht="30" customHeight="1">
      <c r="A8" s="231" t="s">
        <v>302</v>
      </c>
      <c r="B8" s="231" t="s">
        <v>683</v>
      </c>
      <c r="C8" s="2" t="s">
        <v>717</v>
      </c>
      <c r="D8" s="72" t="s">
        <v>383</v>
      </c>
      <c r="E8" s="244" t="s">
        <v>946</v>
      </c>
      <c r="F8" s="72" t="s">
        <v>493</v>
      </c>
      <c r="G8" s="244" t="s">
        <v>1052</v>
      </c>
      <c r="H8" s="224" t="s">
        <v>616</v>
      </c>
      <c r="I8" s="72"/>
      <c r="J8" s="72" t="s">
        <v>1017</v>
      </c>
    </row>
    <row r="9" spans="1:10" ht="30" customHeight="1">
      <c r="A9" s="231" t="s">
        <v>1029</v>
      </c>
      <c r="B9" s="231" t="s">
        <v>1040</v>
      </c>
      <c r="C9" s="2" t="s">
        <v>1044</v>
      </c>
      <c r="D9" s="72" t="s">
        <v>1049</v>
      </c>
      <c r="E9" s="72"/>
      <c r="F9" s="72"/>
      <c r="G9" s="72" t="s">
        <v>974</v>
      </c>
      <c r="H9" s="224" t="s">
        <v>1057</v>
      </c>
      <c r="I9" s="72"/>
      <c r="J9" s="72" t="s">
        <v>1017</v>
      </c>
    </row>
    <row r="10" spans="1:10" ht="30" customHeight="1">
      <c r="A10" s="231" t="s">
        <v>1031</v>
      </c>
      <c r="B10" s="235" t="s">
        <v>989</v>
      </c>
      <c r="C10" s="238" t="s">
        <v>1045</v>
      </c>
      <c r="D10" s="72" t="s">
        <v>383</v>
      </c>
      <c r="E10" s="72" t="s">
        <v>456</v>
      </c>
      <c r="F10" s="72"/>
      <c r="G10" s="244" t="s">
        <v>1054</v>
      </c>
      <c r="H10" s="244" t="s">
        <v>674</v>
      </c>
      <c r="I10" s="72"/>
      <c r="J10" s="72"/>
    </row>
    <row r="11" spans="1:10" ht="30" customHeight="1">
      <c r="A11" s="231" t="s">
        <v>1032</v>
      </c>
      <c r="B11" s="231" t="s">
        <v>741</v>
      </c>
      <c r="C11" s="238" t="s">
        <v>1046</v>
      </c>
      <c r="D11" s="72" t="s">
        <v>754</v>
      </c>
      <c r="E11" s="72"/>
      <c r="F11" s="72"/>
      <c r="G11" s="72"/>
      <c r="H11" s="224"/>
      <c r="I11" s="72"/>
      <c r="J11" s="72"/>
    </row>
    <row r="12" spans="1:10" ht="30" customHeight="1">
      <c r="A12" s="231" t="s">
        <v>391</v>
      </c>
      <c r="B12" s="231" t="s">
        <v>870</v>
      </c>
      <c r="C12" s="238" t="s">
        <v>322</v>
      </c>
      <c r="D12" s="72" t="s">
        <v>383</v>
      </c>
      <c r="E12" s="72" t="s">
        <v>974</v>
      </c>
      <c r="F12" s="72" t="s">
        <v>974</v>
      </c>
      <c r="G12" s="72" t="s">
        <v>974</v>
      </c>
      <c r="H12" s="224" t="s">
        <v>974</v>
      </c>
      <c r="I12" s="72" t="s">
        <v>383</v>
      </c>
      <c r="J12" s="72" t="s">
        <v>773</v>
      </c>
    </row>
    <row r="13" spans="1:10" ht="30" customHeight="1">
      <c r="A13" s="231" t="s">
        <v>90</v>
      </c>
      <c r="B13" s="231" t="s">
        <v>706</v>
      </c>
      <c r="C13" s="2" t="s">
        <v>596</v>
      </c>
      <c r="D13" s="72" t="s">
        <v>1050</v>
      </c>
      <c r="E13" s="72" t="s">
        <v>974</v>
      </c>
      <c r="F13" s="72" t="s">
        <v>974</v>
      </c>
      <c r="G13" s="72" t="s">
        <v>1050</v>
      </c>
      <c r="H13" s="224" t="s">
        <v>974</v>
      </c>
      <c r="I13" s="72" t="s">
        <v>1050</v>
      </c>
      <c r="J13" s="72" t="s">
        <v>1058</v>
      </c>
    </row>
    <row r="14" spans="1:10" ht="30" customHeight="1">
      <c r="A14" s="231" t="s">
        <v>361</v>
      </c>
      <c r="B14" s="231" t="s">
        <v>1041</v>
      </c>
      <c r="C14" s="2" t="s">
        <v>521</v>
      </c>
      <c r="D14" s="72" t="s">
        <v>383</v>
      </c>
      <c r="E14" s="72" t="s">
        <v>974</v>
      </c>
      <c r="F14" s="72" t="s">
        <v>974</v>
      </c>
      <c r="G14" s="72" t="s">
        <v>383</v>
      </c>
      <c r="H14" s="224" t="s">
        <v>974</v>
      </c>
      <c r="I14" s="72" t="s">
        <v>383</v>
      </c>
      <c r="J14" s="72" t="s">
        <v>1058</v>
      </c>
    </row>
    <row r="15" spans="1:10" ht="30" customHeight="1">
      <c r="A15" s="231" t="s">
        <v>1033</v>
      </c>
      <c r="B15" s="231" t="s">
        <v>1043</v>
      </c>
      <c r="C15" s="238" t="s">
        <v>1048</v>
      </c>
      <c r="D15" s="72" t="s">
        <v>383</v>
      </c>
      <c r="E15" s="72" t="s">
        <v>974</v>
      </c>
      <c r="F15" s="72" t="s">
        <v>974</v>
      </c>
      <c r="G15" s="72" t="s">
        <v>383</v>
      </c>
      <c r="H15" s="224" t="s">
        <v>974</v>
      </c>
      <c r="I15" s="72" t="s">
        <v>383</v>
      </c>
      <c r="J15" s="72" t="s">
        <v>773</v>
      </c>
    </row>
    <row r="16" spans="1:10" ht="30" customHeight="1">
      <c r="A16" s="231" t="s">
        <v>1034</v>
      </c>
      <c r="B16" s="231" t="s">
        <v>125</v>
      </c>
      <c r="C16" s="2" t="s">
        <v>390</v>
      </c>
      <c r="D16" s="72"/>
      <c r="E16" s="72"/>
      <c r="F16" s="72"/>
      <c r="G16" s="72"/>
      <c r="H16" s="224"/>
      <c r="I16" s="72"/>
      <c r="J16" s="72"/>
    </row>
    <row r="17" spans="1:10" ht="30" customHeight="1">
      <c r="A17" s="231" t="s">
        <v>1035</v>
      </c>
      <c r="B17" s="231" t="s">
        <v>806</v>
      </c>
      <c r="C17" s="2"/>
      <c r="D17" s="72"/>
      <c r="E17" s="72"/>
      <c r="F17" s="72"/>
      <c r="G17" s="72"/>
      <c r="H17" s="224"/>
      <c r="I17" s="72"/>
      <c r="J17" s="72"/>
    </row>
    <row r="18" spans="1:10" ht="30" customHeight="1">
      <c r="A18" s="231" t="s">
        <v>9</v>
      </c>
      <c r="B18" s="231" t="s">
        <v>803</v>
      </c>
      <c r="C18" s="2"/>
      <c r="D18" s="72"/>
      <c r="E18" s="72"/>
      <c r="F18" s="72"/>
      <c r="G18" s="72"/>
      <c r="H18" s="224"/>
      <c r="I18" s="72"/>
      <c r="J18" s="72"/>
    </row>
    <row r="19" spans="1:10" ht="30" customHeight="1">
      <c r="A19" s="231" t="s">
        <v>1036</v>
      </c>
      <c r="B19" s="236"/>
      <c r="C19" s="2"/>
      <c r="D19" s="72"/>
      <c r="E19" s="72"/>
      <c r="F19" s="72"/>
      <c r="G19" s="72"/>
      <c r="H19" s="224"/>
      <c r="I19" s="72"/>
      <c r="J19" s="72"/>
    </row>
    <row r="20" spans="1:10" ht="30" customHeight="1">
      <c r="A20" s="231" t="s">
        <v>749</v>
      </c>
      <c r="B20" s="236"/>
      <c r="C20" s="2"/>
      <c r="D20" s="72"/>
      <c r="E20" s="72"/>
      <c r="F20" s="72"/>
      <c r="G20" s="72"/>
      <c r="H20" s="224"/>
      <c r="I20" s="72"/>
      <c r="J20" s="72"/>
    </row>
    <row r="21" spans="1:10" ht="30" customHeight="1">
      <c r="A21" s="231" t="s">
        <v>1037</v>
      </c>
      <c r="B21" s="236"/>
      <c r="C21" s="2"/>
      <c r="D21" s="72"/>
      <c r="E21" s="72"/>
      <c r="F21" s="72"/>
      <c r="G21" s="72"/>
      <c r="H21" s="224"/>
      <c r="I21" s="72"/>
      <c r="J21" s="72"/>
    </row>
    <row r="22" spans="1:10" ht="30" customHeight="1">
      <c r="A22" s="232"/>
      <c r="B22" s="72"/>
      <c r="C22" s="239"/>
      <c r="D22" s="72"/>
      <c r="E22" s="72"/>
      <c r="F22" s="72"/>
      <c r="G22" s="72"/>
      <c r="H22" s="224"/>
      <c r="I22" s="72"/>
      <c r="J22" s="72"/>
    </row>
    <row r="23" spans="1:10" ht="30" customHeight="1">
      <c r="A23" s="13"/>
      <c r="B23" s="13"/>
      <c r="C23" s="13"/>
      <c r="D23" s="13"/>
      <c r="E23" s="13"/>
      <c r="F23" s="13"/>
      <c r="G23" s="13"/>
      <c r="H23" s="13"/>
      <c r="I23" s="13"/>
      <c r="J23" s="13"/>
    </row>
    <row r="24" spans="1:10" ht="30" customHeight="1">
      <c r="A24" s="13"/>
      <c r="B24" s="13"/>
      <c r="C24" s="13"/>
      <c r="D24" s="13"/>
      <c r="E24" s="13"/>
      <c r="F24" s="13"/>
      <c r="G24" s="13"/>
      <c r="H24" s="13"/>
      <c r="I24" s="13"/>
      <c r="J24" s="13"/>
    </row>
    <row r="25" spans="1:10" ht="30" customHeight="1">
      <c r="A25" s="13"/>
      <c r="B25" s="13"/>
      <c r="C25" s="13"/>
      <c r="D25" s="13"/>
      <c r="E25" s="13"/>
      <c r="F25" s="13"/>
      <c r="G25" s="13"/>
      <c r="H25" s="13"/>
      <c r="I25" s="13"/>
      <c r="J25" s="13"/>
    </row>
    <row r="26" spans="1:10">
      <c r="A26" s="13"/>
      <c r="B26" s="13"/>
      <c r="C26" s="13"/>
      <c r="D26" s="13"/>
      <c r="E26" s="13"/>
      <c r="F26" s="13"/>
      <c r="G26" s="13"/>
      <c r="H26" s="13"/>
      <c r="I26" s="13"/>
      <c r="J26" s="13"/>
    </row>
    <row r="27" spans="1:10">
      <c r="A27" s="13"/>
      <c r="B27" s="13"/>
      <c r="C27" s="13"/>
      <c r="D27" s="13"/>
      <c r="E27" s="13"/>
      <c r="F27" s="13"/>
      <c r="G27" s="13"/>
      <c r="H27" s="13"/>
      <c r="I27" s="13"/>
      <c r="J27" s="13"/>
    </row>
    <row r="28" spans="1:10">
      <c r="A28" s="13"/>
      <c r="B28" s="13"/>
      <c r="C28" s="13"/>
      <c r="D28" s="13"/>
      <c r="E28" s="13"/>
      <c r="F28" s="13"/>
      <c r="G28" s="13"/>
      <c r="H28" s="13"/>
      <c r="I28" s="13"/>
      <c r="J28" s="13"/>
    </row>
    <row r="29" spans="1:10">
      <c r="A29" s="13"/>
      <c r="B29" s="13"/>
      <c r="C29" s="13"/>
      <c r="D29" s="13"/>
      <c r="E29" s="13"/>
      <c r="F29" s="13"/>
      <c r="G29" s="13"/>
      <c r="H29" s="13"/>
      <c r="I29" s="13"/>
      <c r="J29" s="13"/>
    </row>
    <row r="30" spans="1:10">
      <c r="A30" s="13"/>
      <c r="B30" s="13"/>
      <c r="C30" s="13"/>
      <c r="D30" s="13"/>
      <c r="E30" s="13"/>
      <c r="F30" s="13"/>
      <c r="G30" s="13"/>
      <c r="H30" s="13"/>
      <c r="I30" s="13"/>
      <c r="J30" s="13"/>
    </row>
    <row r="31" spans="1:10">
      <c r="A31" s="13"/>
      <c r="B31" s="13"/>
      <c r="C31" s="13"/>
      <c r="D31" s="13"/>
      <c r="E31" s="13"/>
      <c r="F31" s="13"/>
      <c r="G31" s="13"/>
      <c r="H31" s="13"/>
      <c r="I31" s="13"/>
      <c r="J31" s="13"/>
    </row>
    <row r="32" spans="1:10">
      <c r="A32" s="13"/>
      <c r="B32" s="13"/>
      <c r="C32" s="13"/>
      <c r="D32" s="13"/>
      <c r="E32" s="13"/>
      <c r="F32" s="13"/>
      <c r="G32" s="13"/>
      <c r="H32" s="13"/>
      <c r="I32" s="13"/>
      <c r="J32" s="13"/>
    </row>
    <row r="33" spans="1:10">
      <c r="A33" s="13"/>
      <c r="B33" s="13"/>
      <c r="C33" s="13"/>
      <c r="D33" s="13"/>
      <c r="E33" s="13"/>
      <c r="F33" s="13"/>
      <c r="G33" s="13"/>
      <c r="H33" s="13"/>
      <c r="I33" s="13"/>
      <c r="J33" s="13"/>
    </row>
    <row r="34" spans="1:10">
      <c r="A34" s="13"/>
      <c r="B34" s="13"/>
      <c r="C34" s="13"/>
      <c r="D34" s="13"/>
      <c r="E34" s="13"/>
      <c r="F34" s="13"/>
      <c r="G34" s="13"/>
      <c r="H34" s="13"/>
      <c r="I34" s="13"/>
      <c r="J34" s="13"/>
    </row>
    <row r="35" spans="1:10">
      <c r="A35" s="13"/>
      <c r="B35" s="13"/>
      <c r="C35" s="13"/>
      <c r="D35" s="13"/>
      <c r="E35" s="13"/>
      <c r="F35" s="13"/>
      <c r="G35" s="13"/>
      <c r="H35" s="13"/>
      <c r="I35" s="13"/>
      <c r="J35" s="13"/>
    </row>
    <row r="36" spans="1:10">
      <c r="A36" s="13"/>
      <c r="B36" s="13"/>
      <c r="C36" s="13"/>
      <c r="D36" s="13"/>
      <c r="E36" s="13"/>
      <c r="F36" s="13"/>
      <c r="G36" s="13"/>
      <c r="H36" s="13"/>
      <c r="I36" s="13"/>
      <c r="J36" s="13"/>
    </row>
    <row r="37" spans="1:10">
      <c r="A37" s="13"/>
      <c r="B37" s="13"/>
      <c r="C37" s="13"/>
      <c r="D37" s="13"/>
      <c r="E37" s="13"/>
      <c r="F37" s="13"/>
      <c r="G37" s="13"/>
      <c r="H37" s="13"/>
      <c r="I37" s="13"/>
      <c r="J37" s="13"/>
    </row>
    <row r="38" spans="1:10">
      <c r="A38" s="13"/>
      <c r="B38" s="13"/>
      <c r="C38" s="13"/>
      <c r="D38" s="13"/>
      <c r="E38" s="13"/>
      <c r="F38" s="13"/>
      <c r="G38" s="13"/>
      <c r="H38" s="13"/>
      <c r="I38" s="13"/>
      <c r="J38" s="13"/>
    </row>
    <row r="39" spans="1:10">
      <c r="A39" s="13"/>
      <c r="B39" s="13"/>
      <c r="C39" s="13"/>
      <c r="D39" s="13"/>
      <c r="E39" s="13"/>
      <c r="F39" s="13"/>
      <c r="G39" s="13"/>
      <c r="H39" s="13"/>
      <c r="I39" s="13"/>
      <c r="J39" s="13"/>
    </row>
    <row r="40" spans="1:10">
      <c r="A40" s="13"/>
      <c r="B40" s="13"/>
      <c r="C40" s="13"/>
      <c r="D40" s="13"/>
      <c r="E40" s="13"/>
      <c r="F40" s="13"/>
      <c r="G40" s="13"/>
      <c r="H40" s="13"/>
      <c r="I40" s="13"/>
      <c r="J40" s="13"/>
    </row>
    <row r="41" spans="1:10">
      <c r="A41" s="13"/>
      <c r="B41" s="13"/>
      <c r="C41" s="13"/>
      <c r="D41" s="13"/>
      <c r="E41" s="13"/>
      <c r="F41" s="13"/>
      <c r="G41" s="13"/>
      <c r="H41" s="13"/>
      <c r="I41" s="13"/>
      <c r="J41" s="13"/>
    </row>
    <row r="42" spans="1:10">
      <c r="A42" s="13"/>
      <c r="B42" s="13"/>
      <c r="C42" s="13"/>
      <c r="D42" s="13"/>
      <c r="E42" s="13"/>
      <c r="F42" s="13"/>
      <c r="G42" s="13"/>
      <c r="H42" s="13"/>
      <c r="I42" s="13"/>
      <c r="J42" s="13"/>
    </row>
    <row r="43" spans="1:10">
      <c r="A43" s="13"/>
      <c r="B43" s="13"/>
      <c r="C43" s="13"/>
      <c r="D43" s="13"/>
      <c r="E43" s="13"/>
      <c r="F43" s="13"/>
      <c r="G43" s="13"/>
      <c r="H43" s="13"/>
      <c r="I43" s="13"/>
      <c r="J43" s="13"/>
    </row>
    <row r="44" spans="1:10">
      <c r="A44" s="13"/>
      <c r="B44" s="13"/>
      <c r="C44" s="13"/>
      <c r="D44" s="13"/>
      <c r="E44" s="13"/>
      <c r="F44" s="13"/>
      <c r="G44" s="13"/>
      <c r="H44" s="13"/>
      <c r="I44" s="13"/>
      <c r="J44" s="13"/>
    </row>
    <row r="45" spans="1:10">
      <c r="A45" s="13"/>
      <c r="B45" s="13"/>
      <c r="C45" s="13"/>
      <c r="D45" s="13"/>
      <c r="E45" s="13"/>
      <c r="F45" s="13"/>
      <c r="G45" s="13"/>
      <c r="H45" s="13"/>
      <c r="I45" s="13"/>
      <c r="J45" s="13"/>
    </row>
    <row r="46" spans="1:10">
      <c r="A46" s="13"/>
      <c r="B46" s="13"/>
      <c r="C46" s="13"/>
      <c r="D46" s="13"/>
      <c r="E46" s="13"/>
      <c r="F46" s="13"/>
      <c r="G46" s="13"/>
      <c r="H46" s="13"/>
      <c r="I46" s="13"/>
      <c r="J46" s="13"/>
    </row>
    <row r="47" spans="1:10">
      <c r="A47" s="13"/>
      <c r="B47" s="13"/>
      <c r="C47" s="13"/>
      <c r="D47" s="13"/>
      <c r="E47" s="13"/>
      <c r="F47" s="13"/>
      <c r="G47" s="13"/>
      <c r="H47" s="13"/>
      <c r="I47" s="13"/>
      <c r="J47" s="13"/>
    </row>
    <row r="48" spans="1:10">
      <c r="A48" s="13"/>
      <c r="B48" s="13"/>
      <c r="C48" s="13"/>
      <c r="D48" s="13"/>
      <c r="E48" s="13"/>
      <c r="F48" s="13"/>
      <c r="G48" s="13"/>
      <c r="H48" s="13"/>
      <c r="I48" s="13"/>
      <c r="J48" s="13"/>
    </row>
    <row r="49" spans="1:10">
      <c r="A49" s="13"/>
      <c r="B49" s="13"/>
      <c r="C49" s="13"/>
      <c r="D49" s="13"/>
      <c r="E49" s="13"/>
      <c r="F49" s="13"/>
      <c r="G49" s="13"/>
      <c r="H49" s="13"/>
      <c r="I49" s="13"/>
      <c r="J49" s="13"/>
    </row>
    <row r="50" spans="1:10">
      <c r="A50" s="13"/>
      <c r="B50" s="13"/>
      <c r="C50" s="13"/>
      <c r="D50" s="13"/>
      <c r="E50" s="13"/>
      <c r="F50" s="13"/>
      <c r="G50" s="13"/>
      <c r="H50" s="13"/>
      <c r="I50" s="13"/>
      <c r="J50" s="13"/>
    </row>
    <row r="51" spans="1:10">
      <c r="A51" s="13"/>
      <c r="B51" s="13"/>
      <c r="C51" s="13"/>
      <c r="D51" s="13"/>
      <c r="E51" s="13"/>
      <c r="F51" s="13"/>
      <c r="G51" s="13"/>
      <c r="H51" s="13"/>
      <c r="I51" s="13"/>
      <c r="J51" s="13"/>
    </row>
    <row r="52" spans="1:10">
      <c r="A52" s="13"/>
      <c r="B52" s="13"/>
      <c r="C52" s="13"/>
      <c r="D52" s="13"/>
      <c r="E52" s="13"/>
      <c r="F52" s="13"/>
      <c r="G52" s="13"/>
      <c r="H52" s="13"/>
      <c r="I52" s="13"/>
      <c r="J52" s="13"/>
    </row>
    <row r="53" spans="1:10">
      <c r="A53" s="13"/>
      <c r="B53" s="13"/>
      <c r="C53" s="13"/>
      <c r="D53" s="13"/>
      <c r="E53" s="13"/>
      <c r="F53" s="13"/>
      <c r="G53" s="13"/>
      <c r="H53" s="13"/>
      <c r="I53" s="13"/>
      <c r="J53" s="13"/>
    </row>
    <row r="54" spans="1:10">
      <c r="A54" s="13"/>
      <c r="B54" s="13"/>
      <c r="C54" s="13"/>
      <c r="D54" s="13"/>
      <c r="E54" s="13"/>
      <c r="F54" s="13"/>
      <c r="G54" s="13"/>
      <c r="H54" s="13"/>
      <c r="I54" s="13"/>
      <c r="J54" s="13"/>
    </row>
    <row r="55" spans="1:10">
      <c r="A55" s="13"/>
      <c r="B55" s="13"/>
      <c r="C55" s="13"/>
      <c r="D55" s="13"/>
      <c r="E55" s="13"/>
      <c r="F55" s="13"/>
      <c r="G55" s="13"/>
      <c r="H55" s="13"/>
      <c r="I55" s="13"/>
      <c r="J55" s="13"/>
    </row>
  </sheetData>
  <mergeCells count="1">
    <mergeCell ref="E2:I2"/>
  </mergeCells>
  <phoneticPr fontId="1"/>
  <pageMargins left="0.7" right="0.7" top="0.75" bottom="0.75" header="0.3" footer="0.3"/>
  <pageSetup paperSize="9" scale="6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40"/>
  <sheetViews>
    <sheetView showGridLines="0" view="pageBreakPreview" zoomScale="60" zoomScaleNormal="70" workbookViewId="0">
      <selection activeCell="G13" sqref="G13"/>
    </sheetView>
  </sheetViews>
  <sheetFormatPr defaultRowHeight="13.5"/>
  <cols>
    <col min="1" max="1" width="11.25" customWidth="1"/>
    <col min="2" max="2" width="26.375" customWidth="1"/>
    <col min="3" max="8" width="29.375" customWidth="1"/>
    <col min="9" max="9" width="19.25" customWidth="1"/>
  </cols>
  <sheetData>
    <row r="1" spans="1:9" ht="21" customHeight="1">
      <c r="A1" s="44" t="s">
        <v>254</v>
      </c>
      <c r="B1" s="44"/>
    </row>
    <row r="2" spans="1:9" ht="21" customHeight="1">
      <c r="A2" s="246" t="s">
        <v>34</v>
      </c>
      <c r="B2" s="250" t="s">
        <v>1055</v>
      </c>
      <c r="C2" s="250"/>
      <c r="D2" s="247"/>
      <c r="E2" s="247"/>
      <c r="F2" s="247"/>
      <c r="G2" s="247"/>
      <c r="H2" s="247"/>
    </row>
    <row r="3" spans="1:9" ht="21" customHeight="1">
      <c r="A3" s="246" t="s">
        <v>668</v>
      </c>
      <c r="B3" s="250" t="s">
        <v>816</v>
      </c>
      <c r="C3" s="250"/>
      <c r="D3" s="247"/>
      <c r="E3" s="247"/>
      <c r="F3" s="247"/>
      <c r="G3" s="247"/>
      <c r="H3" s="247"/>
    </row>
    <row r="4" spans="1:9" ht="21" customHeight="1">
      <c r="A4" s="246" t="s">
        <v>885</v>
      </c>
      <c r="B4" s="250" t="s">
        <v>884</v>
      </c>
      <c r="C4" s="250"/>
      <c r="D4" s="247"/>
      <c r="E4" s="247"/>
      <c r="F4" s="247"/>
      <c r="G4" s="247"/>
      <c r="H4" s="247"/>
    </row>
    <row r="5" spans="1:9" ht="17.25" customHeight="1">
      <c r="A5" s="247"/>
      <c r="B5" s="247"/>
      <c r="C5" s="247"/>
      <c r="D5" s="247"/>
      <c r="E5" s="247"/>
      <c r="F5" s="247"/>
      <c r="G5" s="247"/>
      <c r="H5" s="247"/>
    </row>
    <row r="6" spans="1:9" ht="32.25" customHeight="1">
      <c r="A6" s="51" t="s">
        <v>12</v>
      </c>
      <c r="B6" s="51" t="s">
        <v>7</v>
      </c>
      <c r="C6" s="251" t="s">
        <v>888</v>
      </c>
      <c r="D6" s="51" t="s">
        <v>35</v>
      </c>
      <c r="E6" s="251" t="s">
        <v>886</v>
      </c>
      <c r="F6" s="251" t="s">
        <v>200</v>
      </c>
      <c r="G6" s="251" t="s">
        <v>889</v>
      </c>
      <c r="H6" s="251" t="s">
        <v>887</v>
      </c>
    </row>
    <row r="7" spans="1:9" ht="44.25" customHeight="1">
      <c r="A7" s="72" t="s">
        <v>25</v>
      </c>
      <c r="B7" s="2" t="s">
        <v>467</v>
      </c>
      <c r="C7" s="2" t="s">
        <v>594</v>
      </c>
      <c r="D7" s="2" t="s">
        <v>512</v>
      </c>
      <c r="E7" s="238" t="s">
        <v>1283</v>
      </c>
      <c r="F7" s="2" t="s">
        <v>1030</v>
      </c>
      <c r="G7" s="2" t="s">
        <v>1199</v>
      </c>
      <c r="H7" s="238" t="s">
        <v>1284</v>
      </c>
      <c r="I7" s="13"/>
    </row>
    <row r="8" spans="1:9" ht="44.25" customHeight="1">
      <c r="A8" s="72"/>
      <c r="B8" s="2" t="s">
        <v>1059</v>
      </c>
      <c r="C8" s="238" t="s">
        <v>1008</v>
      </c>
      <c r="D8" s="2" t="s">
        <v>915</v>
      </c>
      <c r="E8" s="238" t="s">
        <v>1283</v>
      </c>
      <c r="F8" s="238" t="s">
        <v>1285</v>
      </c>
      <c r="G8" s="2" t="s">
        <v>1286</v>
      </c>
      <c r="H8" s="238" t="s">
        <v>259</v>
      </c>
      <c r="I8" s="13"/>
    </row>
    <row r="9" spans="1:9" ht="44.25" customHeight="1">
      <c r="A9" s="72"/>
      <c r="B9" s="2" t="s">
        <v>284</v>
      </c>
      <c r="C9" s="2" t="s">
        <v>1287</v>
      </c>
      <c r="D9" s="2" t="s">
        <v>116</v>
      </c>
      <c r="E9" s="238" t="s">
        <v>1288</v>
      </c>
      <c r="F9" s="238" t="s">
        <v>1289</v>
      </c>
      <c r="G9" s="2" t="s">
        <v>21</v>
      </c>
      <c r="H9" s="2" t="s">
        <v>1063</v>
      </c>
      <c r="I9" s="13"/>
    </row>
    <row r="10" spans="1:9" ht="44.25" customHeight="1">
      <c r="A10" s="72"/>
      <c r="B10" s="2" t="s">
        <v>799</v>
      </c>
      <c r="C10" s="238" t="s">
        <v>825</v>
      </c>
      <c r="D10" s="2" t="s">
        <v>1290</v>
      </c>
      <c r="E10" s="238" t="s">
        <v>404</v>
      </c>
      <c r="F10" s="2" t="s">
        <v>1291</v>
      </c>
      <c r="G10" s="2" t="s">
        <v>1292</v>
      </c>
      <c r="H10" s="238" t="s">
        <v>1293</v>
      </c>
      <c r="I10" s="13"/>
    </row>
    <row r="11" spans="1:9" ht="44.25" customHeight="1">
      <c r="A11" s="224" t="s">
        <v>10</v>
      </c>
      <c r="B11" s="2" t="s">
        <v>697</v>
      </c>
      <c r="C11" s="2" t="s">
        <v>1067</v>
      </c>
      <c r="D11" s="2" t="s">
        <v>124</v>
      </c>
      <c r="E11" s="238" t="s">
        <v>42</v>
      </c>
      <c r="F11" s="238" t="s">
        <v>103</v>
      </c>
      <c r="G11" s="238" t="s">
        <v>1071</v>
      </c>
      <c r="H11" s="238" t="s">
        <v>1073</v>
      </c>
      <c r="I11" s="13"/>
    </row>
    <row r="12" spans="1:9" ht="44.25" customHeight="1">
      <c r="A12" s="72"/>
      <c r="B12" s="2" t="s">
        <v>1064</v>
      </c>
      <c r="C12" s="238" t="s">
        <v>1067</v>
      </c>
      <c r="D12" s="238" t="s">
        <v>1068</v>
      </c>
      <c r="E12" s="238" t="s">
        <v>1069</v>
      </c>
      <c r="F12" s="238" t="s">
        <v>1070</v>
      </c>
      <c r="G12" s="2" t="s">
        <v>1062</v>
      </c>
      <c r="H12" s="238" t="s">
        <v>1073</v>
      </c>
      <c r="I12" s="13"/>
    </row>
    <row r="13" spans="1:9" ht="44.25" customHeight="1">
      <c r="A13" s="72"/>
      <c r="B13" s="2" t="s">
        <v>1066</v>
      </c>
      <c r="C13" s="238" t="s">
        <v>449</v>
      </c>
      <c r="D13" s="2" t="s">
        <v>278</v>
      </c>
      <c r="E13" s="238" t="s">
        <v>975</v>
      </c>
      <c r="F13" s="238" t="s">
        <v>445</v>
      </c>
      <c r="G13" s="2" t="s">
        <v>1062</v>
      </c>
      <c r="H13" s="238" t="s">
        <v>402</v>
      </c>
      <c r="I13" s="13"/>
    </row>
    <row r="14" spans="1:9" ht="44.25" customHeight="1">
      <c r="A14" s="72"/>
      <c r="B14" s="239"/>
      <c r="C14" s="239"/>
      <c r="D14" s="239"/>
      <c r="E14" s="239"/>
      <c r="F14" s="239"/>
      <c r="G14" s="239"/>
      <c r="H14" s="239"/>
      <c r="I14" s="13"/>
    </row>
    <row r="15" spans="1:9" ht="44.25" customHeight="1">
      <c r="A15" s="72"/>
      <c r="B15" s="239"/>
      <c r="C15" s="239"/>
      <c r="D15" s="239"/>
      <c r="E15" s="239"/>
      <c r="F15" s="239"/>
      <c r="G15" s="239"/>
      <c r="H15" s="239"/>
      <c r="I15" s="13"/>
    </row>
    <row r="16" spans="1:9" ht="44.25" customHeight="1">
      <c r="A16" s="248" t="s">
        <v>22</v>
      </c>
      <c r="B16" s="2" t="s">
        <v>1075</v>
      </c>
      <c r="C16" s="2" t="s">
        <v>1076</v>
      </c>
      <c r="D16" s="238" t="s">
        <v>1078</v>
      </c>
      <c r="E16" s="238" t="s">
        <v>1079</v>
      </c>
      <c r="F16" s="238" t="s">
        <v>339</v>
      </c>
      <c r="G16" s="2" t="s">
        <v>1080</v>
      </c>
      <c r="H16" s="238" t="s">
        <v>1081</v>
      </c>
      <c r="I16" s="13"/>
    </row>
    <row r="17" spans="1:9" ht="44.25" customHeight="1">
      <c r="A17" s="249"/>
      <c r="B17" s="2" t="s">
        <v>1074</v>
      </c>
      <c r="C17" s="2" t="s">
        <v>1076</v>
      </c>
      <c r="D17" s="2" t="s">
        <v>1077</v>
      </c>
      <c r="E17" s="238" t="s">
        <v>1079</v>
      </c>
      <c r="F17" s="238" t="s">
        <v>339</v>
      </c>
      <c r="G17" s="2" t="s">
        <v>1062</v>
      </c>
      <c r="H17" s="238" t="s">
        <v>1081</v>
      </c>
      <c r="I17" s="13"/>
    </row>
    <row r="18" spans="1:9" ht="44.25" customHeight="1">
      <c r="A18" s="249"/>
      <c r="B18" s="239"/>
      <c r="C18" s="239"/>
      <c r="D18" s="239"/>
      <c r="E18" s="239"/>
      <c r="F18" s="239"/>
      <c r="G18" s="239"/>
      <c r="H18" s="239"/>
      <c r="I18" s="13"/>
    </row>
    <row r="19" spans="1:9" ht="44.25" customHeight="1">
      <c r="A19" s="245"/>
      <c r="B19" s="239"/>
      <c r="C19" s="239"/>
      <c r="D19" s="239"/>
      <c r="E19" s="239"/>
      <c r="F19" s="239"/>
      <c r="G19" s="239"/>
      <c r="H19" s="239"/>
      <c r="I19" s="13"/>
    </row>
    <row r="20" spans="1:9" ht="44.25" customHeight="1">
      <c r="A20" s="72" t="s">
        <v>766</v>
      </c>
      <c r="B20" s="238" t="s">
        <v>1083</v>
      </c>
      <c r="C20" s="2" t="s">
        <v>1085</v>
      </c>
      <c r="D20" s="238" t="s">
        <v>1086</v>
      </c>
      <c r="E20" s="238" t="s">
        <v>1088</v>
      </c>
      <c r="F20" s="2" t="s">
        <v>1089</v>
      </c>
      <c r="G20" s="2" t="s">
        <v>1062</v>
      </c>
      <c r="H20" s="238" t="s">
        <v>935</v>
      </c>
      <c r="I20" s="13"/>
    </row>
    <row r="21" spans="1:9" ht="44.25" customHeight="1">
      <c r="A21" s="72"/>
      <c r="B21" s="2" t="s">
        <v>1082</v>
      </c>
      <c r="C21" s="2" t="s">
        <v>1084</v>
      </c>
      <c r="D21" s="2" t="s">
        <v>1086</v>
      </c>
      <c r="E21" s="2" t="s">
        <v>1087</v>
      </c>
      <c r="F21" s="2" t="s">
        <v>1089</v>
      </c>
      <c r="G21" s="2" t="s">
        <v>1080</v>
      </c>
      <c r="H21" s="238" t="s">
        <v>935</v>
      </c>
      <c r="I21" s="13"/>
    </row>
    <row r="22" spans="1:9" ht="44.25" customHeight="1">
      <c r="A22" s="72"/>
      <c r="B22" s="239"/>
      <c r="C22" s="239"/>
      <c r="D22" s="239"/>
      <c r="E22" s="239"/>
      <c r="F22" s="239"/>
      <c r="G22" s="239"/>
      <c r="H22" s="239"/>
      <c r="I22" s="13"/>
    </row>
    <row r="23" spans="1:9" ht="44.25" customHeight="1">
      <c r="A23" s="72"/>
      <c r="B23" s="239"/>
      <c r="C23" s="239"/>
      <c r="D23" s="239"/>
      <c r="E23" s="239"/>
      <c r="F23" s="239"/>
      <c r="G23" s="239"/>
      <c r="H23" s="239"/>
      <c r="I23" s="13"/>
    </row>
    <row r="24" spans="1:9" ht="44.25" customHeight="1">
      <c r="A24" s="248" t="s">
        <v>27</v>
      </c>
      <c r="B24" s="2" t="s">
        <v>450</v>
      </c>
      <c r="C24" s="2" t="s">
        <v>1093</v>
      </c>
      <c r="D24" s="2" t="s">
        <v>1060</v>
      </c>
      <c r="E24" s="238" t="s">
        <v>609</v>
      </c>
      <c r="F24" s="238" t="s">
        <v>1096</v>
      </c>
      <c r="G24" s="2" t="s">
        <v>382</v>
      </c>
      <c r="H24" s="238" t="s">
        <v>1098</v>
      </c>
      <c r="I24" s="13"/>
    </row>
    <row r="25" spans="1:9" ht="44.25" customHeight="1">
      <c r="A25" s="249"/>
      <c r="B25" s="2" t="s">
        <v>1092</v>
      </c>
      <c r="C25" s="2" t="s">
        <v>1093</v>
      </c>
      <c r="D25" s="238" t="s">
        <v>331</v>
      </c>
      <c r="E25" s="238" t="s">
        <v>609</v>
      </c>
      <c r="F25" s="238" t="s">
        <v>1097</v>
      </c>
      <c r="G25" s="2" t="s">
        <v>1080</v>
      </c>
      <c r="H25" s="2" t="s">
        <v>894</v>
      </c>
      <c r="I25" s="13"/>
    </row>
    <row r="26" spans="1:9" ht="44.25" customHeight="1">
      <c r="A26" s="249"/>
      <c r="B26" s="2" t="s">
        <v>1091</v>
      </c>
      <c r="C26" s="2" t="s">
        <v>1093</v>
      </c>
      <c r="D26" s="2" t="s">
        <v>1060</v>
      </c>
      <c r="E26" s="238" t="s">
        <v>609</v>
      </c>
      <c r="F26" s="238" t="s">
        <v>1096</v>
      </c>
      <c r="G26" s="2" t="s">
        <v>382</v>
      </c>
      <c r="H26" s="238" t="s">
        <v>1098</v>
      </c>
      <c r="I26" s="13"/>
    </row>
    <row r="27" spans="1:9" ht="44.25" customHeight="1">
      <c r="A27" s="249"/>
      <c r="B27" s="2" t="s">
        <v>1090</v>
      </c>
      <c r="C27" s="2" t="s">
        <v>1093</v>
      </c>
      <c r="D27" s="238" t="s">
        <v>1094</v>
      </c>
      <c r="E27" s="238" t="s">
        <v>609</v>
      </c>
      <c r="F27" s="238" t="s">
        <v>14</v>
      </c>
      <c r="G27" s="2" t="s">
        <v>1080</v>
      </c>
      <c r="H27" s="2" t="s">
        <v>258</v>
      </c>
      <c r="I27" s="13"/>
    </row>
    <row r="28" spans="1:9" ht="44.25" customHeight="1">
      <c r="A28" s="245"/>
      <c r="B28" s="239"/>
      <c r="C28" s="239"/>
      <c r="D28" s="239"/>
      <c r="E28" s="239"/>
      <c r="F28" s="239"/>
      <c r="G28" s="239"/>
      <c r="H28" s="239"/>
      <c r="I28" s="13"/>
    </row>
    <row r="29" spans="1:9" ht="44.25" customHeight="1">
      <c r="A29" s="224" t="s">
        <v>41</v>
      </c>
      <c r="B29" s="2" t="s">
        <v>1099</v>
      </c>
      <c r="C29" s="238" t="s">
        <v>1100</v>
      </c>
      <c r="D29" s="238" t="s">
        <v>192</v>
      </c>
      <c r="E29" s="238" t="s">
        <v>1101</v>
      </c>
      <c r="F29" s="238" t="s">
        <v>1102</v>
      </c>
      <c r="G29" s="2" t="s">
        <v>580</v>
      </c>
      <c r="H29" s="238" t="s">
        <v>1105</v>
      </c>
      <c r="I29" s="13"/>
    </row>
    <row r="30" spans="1:9" ht="44.25" customHeight="1">
      <c r="A30" s="224"/>
      <c r="B30" s="2" t="s">
        <v>1038</v>
      </c>
      <c r="C30" s="238" t="s">
        <v>1100</v>
      </c>
      <c r="D30" s="238" t="s">
        <v>854</v>
      </c>
      <c r="E30" s="238" t="s">
        <v>955</v>
      </c>
      <c r="F30" s="238" t="s">
        <v>618</v>
      </c>
      <c r="G30" s="2" t="s">
        <v>1103</v>
      </c>
      <c r="H30" s="238" t="s">
        <v>1104</v>
      </c>
      <c r="I30" s="13"/>
    </row>
    <row r="31" spans="1:9" ht="44.25" customHeight="1">
      <c r="A31" s="224"/>
      <c r="B31" s="239"/>
      <c r="C31" s="239"/>
      <c r="D31" s="239"/>
      <c r="E31" s="239"/>
      <c r="F31" s="239"/>
      <c r="G31" s="239"/>
      <c r="H31" s="239"/>
      <c r="I31" s="13"/>
    </row>
    <row r="32" spans="1:9" ht="44.25" customHeight="1">
      <c r="A32" s="224"/>
      <c r="B32" s="239"/>
      <c r="C32" s="239"/>
      <c r="D32" s="239"/>
      <c r="E32" s="239"/>
      <c r="F32" s="239"/>
      <c r="G32" s="239"/>
      <c r="H32" s="239"/>
      <c r="I32" s="13"/>
    </row>
    <row r="33" spans="1:9" ht="44.25" customHeight="1">
      <c r="A33" s="224"/>
      <c r="B33" s="239"/>
      <c r="C33" s="239"/>
      <c r="D33" s="239"/>
      <c r="E33" s="239"/>
      <c r="F33" s="239"/>
      <c r="G33" s="239"/>
      <c r="H33" s="239"/>
      <c r="I33" s="13"/>
    </row>
    <row r="34" spans="1:9" ht="44.25" customHeight="1">
      <c r="A34" s="224" t="s">
        <v>18</v>
      </c>
      <c r="B34" s="2" t="s">
        <v>1107</v>
      </c>
      <c r="C34" s="2" t="s">
        <v>684</v>
      </c>
      <c r="D34" s="238" t="s">
        <v>617</v>
      </c>
      <c r="E34" s="238" t="s">
        <v>1114</v>
      </c>
      <c r="F34" s="238" t="s">
        <v>1118</v>
      </c>
      <c r="G34" s="2" t="s">
        <v>1119</v>
      </c>
      <c r="H34" s="238" t="s">
        <v>1123</v>
      </c>
      <c r="I34" s="13"/>
    </row>
    <row r="35" spans="1:9" ht="44.25" customHeight="1">
      <c r="A35" s="224"/>
      <c r="B35" s="2" t="s">
        <v>608</v>
      </c>
      <c r="C35" s="238" t="s">
        <v>1108</v>
      </c>
      <c r="D35" s="238" t="s">
        <v>99</v>
      </c>
      <c r="E35" s="238" t="s">
        <v>1113</v>
      </c>
      <c r="F35" s="238" t="s">
        <v>1117</v>
      </c>
      <c r="G35" s="2" t="s">
        <v>542</v>
      </c>
      <c r="H35" s="238" t="s">
        <v>1122</v>
      </c>
      <c r="I35" s="13"/>
    </row>
    <row r="36" spans="1:9" ht="44.25" customHeight="1">
      <c r="A36" s="224"/>
      <c r="B36" s="2" t="s">
        <v>1106</v>
      </c>
      <c r="C36" s="238" t="s">
        <v>343</v>
      </c>
      <c r="D36" s="238" t="s">
        <v>1110</v>
      </c>
      <c r="E36" s="238" t="s">
        <v>1112</v>
      </c>
      <c r="F36" s="238" t="s">
        <v>1116</v>
      </c>
      <c r="G36" s="2" t="s">
        <v>283</v>
      </c>
      <c r="H36" s="238" t="s">
        <v>1121</v>
      </c>
      <c r="I36" s="13"/>
    </row>
    <row r="37" spans="1:9" ht="44.25" customHeight="1">
      <c r="A37" s="224"/>
      <c r="B37" s="2" t="s">
        <v>121</v>
      </c>
      <c r="C37" s="238" t="s">
        <v>1072</v>
      </c>
      <c r="D37" s="2" t="s">
        <v>1109</v>
      </c>
      <c r="E37" s="238" t="s">
        <v>1111</v>
      </c>
      <c r="F37" s="238" t="s">
        <v>1115</v>
      </c>
      <c r="G37" s="2" t="s">
        <v>542</v>
      </c>
      <c r="H37" s="238" t="s">
        <v>1120</v>
      </c>
      <c r="I37" s="13"/>
    </row>
    <row r="38" spans="1:9" ht="44.25" customHeight="1">
      <c r="A38" s="224"/>
      <c r="B38" s="239"/>
      <c r="C38" s="239"/>
      <c r="D38" s="239"/>
      <c r="E38" s="239"/>
      <c r="F38" s="239"/>
      <c r="G38" s="239"/>
      <c r="H38" s="239"/>
      <c r="I38" s="13"/>
    </row>
    <row r="39" spans="1:9" ht="44.25" customHeight="1">
      <c r="A39" s="72" t="s">
        <v>30</v>
      </c>
      <c r="B39" s="2"/>
      <c r="C39" s="2"/>
      <c r="D39" s="2"/>
      <c r="E39" s="2"/>
      <c r="F39" s="2"/>
      <c r="G39" s="2"/>
      <c r="H39" s="2"/>
    </row>
    <row r="40" spans="1:9" ht="44.25" customHeight="1">
      <c r="A40" s="72"/>
      <c r="B40" s="2"/>
      <c r="C40" s="2"/>
      <c r="D40" s="2"/>
      <c r="E40" s="2"/>
      <c r="F40" s="2"/>
      <c r="G40" s="2"/>
      <c r="H40" s="2"/>
    </row>
  </sheetData>
  <mergeCells count="11">
    <mergeCell ref="B2:C2"/>
    <mergeCell ref="B3:C3"/>
    <mergeCell ref="B4:C4"/>
    <mergeCell ref="A7:A10"/>
    <mergeCell ref="A11:A15"/>
    <mergeCell ref="A16:A19"/>
    <mergeCell ref="A20:A23"/>
    <mergeCell ref="A24:A28"/>
    <mergeCell ref="A29:A33"/>
    <mergeCell ref="A34:A38"/>
    <mergeCell ref="A39:A40"/>
  </mergeCells>
  <phoneticPr fontId="1"/>
  <pageMargins left="0.70866141732283472" right="0.70866141732283472" top="0.74803149606299213" bottom="0.74803149606299213" header="0.31496062992125984" footer="0.31496062992125984"/>
  <pageSetup paperSize="8" scale="92"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L32"/>
  <sheetViews>
    <sheetView view="pageBreakPreview" zoomScale="60" workbookViewId="0">
      <selection activeCell="J15" sqref="J15"/>
    </sheetView>
  </sheetViews>
  <sheetFormatPr defaultRowHeight="13.5"/>
  <cols>
    <col min="1" max="1" width="17.75" customWidth="1"/>
    <col min="2" max="2" width="12.75" customWidth="1"/>
    <col min="3" max="3" width="22.375" customWidth="1"/>
    <col min="4" max="4" width="12.75" customWidth="1"/>
    <col min="5" max="5" width="14.25" customWidth="1"/>
    <col min="6" max="6" width="21.875" customWidth="1"/>
    <col min="7" max="7" width="17.25" customWidth="1"/>
    <col min="8" max="8" width="15.625" customWidth="1"/>
    <col min="9" max="9" width="15.125" customWidth="1"/>
    <col min="10" max="10" width="12.625" customWidth="1"/>
    <col min="11" max="11" width="15.75" customWidth="1"/>
    <col min="12" max="12" width="16.125" customWidth="1"/>
  </cols>
  <sheetData>
    <row r="1" spans="1:12" ht="23.25" customHeight="1">
      <c r="A1" s="44" t="s">
        <v>709</v>
      </c>
      <c r="B1" s="44"/>
      <c r="C1" s="44"/>
      <c r="D1" s="44"/>
    </row>
    <row r="2" spans="1:12" s="252" customFormat="1" ht="21.75" customHeight="1">
      <c r="A2" s="51" t="s">
        <v>34</v>
      </c>
      <c r="B2" s="51" t="s">
        <v>101</v>
      </c>
      <c r="C2" s="51" t="s">
        <v>872</v>
      </c>
      <c r="D2" s="51" t="s">
        <v>160</v>
      </c>
      <c r="E2" s="51" t="s">
        <v>86</v>
      </c>
      <c r="F2" s="51" t="s">
        <v>53</v>
      </c>
      <c r="G2" s="51" t="s">
        <v>85</v>
      </c>
      <c r="H2" s="51" t="s">
        <v>154</v>
      </c>
      <c r="I2" s="51" t="s">
        <v>155</v>
      </c>
      <c r="J2" s="51" t="s">
        <v>48</v>
      </c>
      <c r="K2" s="51" t="s">
        <v>156</v>
      </c>
      <c r="L2" s="51" t="s">
        <v>159</v>
      </c>
    </row>
    <row r="3" spans="1:12" ht="81">
      <c r="A3" s="2" t="s">
        <v>132</v>
      </c>
      <c r="B3" s="2" t="s">
        <v>1126</v>
      </c>
      <c r="C3" s="238" t="s">
        <v>933</v>
      </c>
      <c r="D3" s="238" t="s">
        <v>1136</v>
      </c>
      <c r="E3" s="2" t="s">
        <v>930</v>
      </c>
      <c r="F3" s="238" t="s">
        <v>1141</v>
      </c>
      <c r="G3" s="238" t="s">
        <v>1143</v>
      </c>
      <c r="H3" s="238" t="s">
        <v>129</v>
      </c>
      <c r="I3" s="238" t="s">
        <v>1147</v>
      </c>
      <c r="J3" s="238" t="s">
        <v>1149</v>
      </c>
      <c r="K3" s="238" t="s">
        <v>977</v>
      </c>
      <c r="L3" s="238" t="s">
        <v>1152</v>
      </c>
    </row>
    <row r="4" spans="1:12" ht="67.5">
      <c r="A4" s="2" t="s">
        <v>1042</v>
      </c>
      <c r="B4" s="2" t="s">
        <v>1127</v>
      </c>
      <c r="C4" s="238" t="s">
        <v>1131</v>
      </c>
      <c r="D4" s="2" t="s">
        <v>1137</v>
      </c>
      <c r="E4" s="238" t="s">
        <v>1139</v>
      </c>
      <c r="F4" s="238" t="s">
        <v>161</v>
      </c>
      <c r="G4" s="238" t="s">
        <v>1144</v>
      </c>
      <c r="H4" s="238" t="s">
        <v>1146</v>
      </c>
      <c r="I4" s="238" t="s">
        <v>918</v>
      </c>
      <c r="J4" s="238" t="s">
        <v>1150</v>
      </c>
      <c r="K4" s="238" t="s">
        <v>273</v>
      </c>
      <c r="L4" s="2"/>
    </row>
    <row r="5" spans="1:12" ht="54">
      <c r="A5" s="2" t="s">
        <v>1124</v>
      </c>
      <c r="B5" s="2" t="s">
        <v>1128</v>
      </c>
      <c r="C5" s="238" t="s">
        <v>1132</v>
      </c>
      <c r="D5" s="238" t="s">
        <v>1138</v>
      </c>
      <c r="E5" s="2"/>
      <c r="F5" s="238" t="s">
        <v>1142</v>
      </c>
      <c r="G5" s="2"/>
      <c r="H5" s="2"/>
      <c r="I5" s="2"/>
      <c r="J5" s="2"/>
      <c r="K5" s="2"/>
      <c r="L5" s="2"/>
    </row>
    <row r="6" spans="1:12" ht="27">
      <c r="A6" s="2" t="s">
        <v>165</v>
      </c>
      <c r="B6" s="238" t="s">
        <v>1129</v>
      </c>
      <c r="C6" s="238" t="s">
        <v>691</v>
      </c>
      <c r="D6" s="2" t="s">
        <v>926</v>
      </c>
      <c r="E6" s="2"/>
      <c r="F6" s="2"/>
      <c r="G6" s="2"/>
      <c r="H6" s="2"/>
      <c r="I6" s="2"/>
      <c r="J6" s="2"/>
      <c r="K6" s="2"/>
      <c r="L6" s="2"/>
    </row>
    <row r="7" spans="1:12" ht="40.5">
      <c r="A7" s="2" t="s">
        <v>1125</v>
      </c>
      <c r="B7" s="238" t="s">
        <v>1130</v>
      </c>
      <c r="C7" s="238" t="s">
        <v>1133</v>
      </c>
      <c r="D7" s="238" t="s">
        <v>526</v>
      </c>
      <c r="E7" s="238" t="s">
        <v>1140</v>
      </c>
      <c r="F7" s="2"/>
      <c r="G7" s="2"/>
      <c r="H7" s="2"/>
      <c r="I7" s="238" t="s">
        <v>1148</v>
      </c>
      <c r="J7" s="2"/>
      <c r="K7" s="2"/>
      <c r="L7" s="2"/>
    </row>
    <row r="8" spans="1:12" ht="67.5">
      <c r="A8" s="238" t="s">
        <v>744</v>
      </c>
      <c r="B8" s="238" t="s">
        <v>1002</v>
      </c>
      <c r="C8" s="238" t="s">
        <v>1134</v>
      </c>
      <c r="D8" s="238" t="s">
        <v>758</v>
      </c>
      <c r="E8" s="2"/>
      <c r="F8" s="2"/>
      <c r="G8" s="2"/>
      <c r="H8" s="2"/>
      <c r="I8" s="2"/>
      <c r="J8" s="2"/>
      <c r="K8" s="2"/>
      <c r="L8" s="2"/>
    </row>
    <row r="9" spans="1:12" ht="30" customHeight="1">
      <c r="A9" s="2" t="s">
        <v>728</v>
      </c>
      <c r="B9" s="2"/>
      <c r="C9" s="2" t="s">
        <v>650</v>
      </c>
      <c r="D9" s="2"/>
      <c r="E9" s="2"/>
      <c r="F9" s="2"/>
      <c r="G9" s="2"/>
      <c r="H9" s="2"/>
      <c r="I9" s="2"/>
      <c r="J9" s="2"/>
      <c r="K9" s="2"/>
      <c r="L9" s="2"/>
    </row>
    <row r="10" spans="1:12" ht="27">
      <c r="A10" s="238" t="s">
        <v>642</v>
      </c>
      <c r="B10" s="2"/>
      <c r="C10" s="238" t="s">
        <v>1135</v>
      </c>
      <c r="D10" s="2"/>
      <c r="E10" s="2"/>
      <c r="F10" s="2"/>
      <c r="G10" s="2"/>
      <c r="H10" s="2"/>
      <c r="I10" s="2"/>
      <c r="J10" s="2"/>
      <c r="K10" s="2"/>
      <c r="L10" s="2"/>
    </row>
    <row r="11" spans="1:12">
      <c r="A11" s="2"/>
      <c r="B11" s="2"/>
      <c r="C11" s="2"/>
      <c r="D11" s="2"/>
      <c r="E11" s="2"/>
      <c r="F11" s="2"/>
      <c r="G11" s="2"/>
      <c r="H11" s="2"/>
      <c r="I11" s="2"/>
      <c r="J11" s="2"/>
      <c r="K11" s="2"/>
      <c r="L11" s="2"/>
    </row>
    <row r="12" spans="1:12">
      <c r="A12" s="238"/>
      <c r="B12" s="2"/>
      <c r="C12" s="238"/>
      <c r="D12" s="2"/>
      <c r="E12" s="2"/>
      <c r="F12" s="2"/>
      <c r="G12" s="2"/>
      <c r="H12" s="2"/>
      <c r="I12" s="2"/>
      <c r="J12" s="2"/>
      <c r="K12" s="2"/>
      <c r="L12" s="2"/>
    </row>
    <row r="13" spans="1:12">
      <c r="A13" s="239"/>
      <c r="B13" s="239"/>
      <c r="C13" s="239"/>
      <c r="D13" s="239"/>
      <c r="E13" s="239"/>
      <c r="F13" s="239"/>
      <c r="G13" s="239"/>
      <c r="H13" s="239"/>
      <c r="I13" s="239"/>
      <c r="J13" s="239"/>
      <c r="K13" s="2"/>
      <c r="L13" s="2"/>
    </row>
    <row r="14" spans="1:12" ht="21" customHeight="1">
      <c r="A14" s="239"/>
      <c r="B14" s="239"/>
      <c r="C14" s="239"/>
      <c r="D14" s="239"/>
      <c r="E14" s="239"/>
      <c r="F14" s="239"/>
      <c r="G14" s="239"/>
      <c r="H14" s="239"/>
      <c r="I14" s="239"/>
      <c r="J14" s="239"/>
      <c r="K14" s="2"/>
      <c r="L14" s="2"/>
    </row>
    <row r="15" spans="1:12">
      <c r="A15" s="13"/>
      <c r="B15" s="13"/>
      <c r="C15" s="13"/>
      <c r="D15" s="13"/>
      <c r="E15" s="13"/>
      <c r="F15" s="13"/>
      <c r="G15" s="13"/>
      <c r="H15" s="13"/>
      <c r="I15" s="13"/>
      <c r="J15" s="13"/>
    </row>
    <row r="16" spans="1:12">
      <c r="A16" s="13"/>
      <c r="B16" s="13"/>
      <c r="C16" s="13"/>
      <c r="D16" s="13"/>
      <c r="E16" s="13"/>
      <c r="F16" s="13"/>
      <c r="G16" s="13"/>
      <c r="H16" s="13"/>
      <c r="I16" s="13"/>
      <c r="J16" s="13"/>
    </row>
    <row r="17" spans="1:10">
      <c r="A17" s="13"/>
      <c r="B17" s="13"/>
      <c r="C17" s="13"/>
      <c r="D17" s="13"/>
      <c r="E17" s="13"/>
      <c r="F17" s="13"/>
      <c r="G17" s="13"/>
      <c r="H17" s="13"/>
      <c r="I17" s="13"/>
      <c r="J17" s="13"/>
    </row>
    <row r="18" spans="1:10">
      <c r="A18" s="13"/>
      <c r="B18" s="13"/>
      <c r="C18" s="13"/>
      <c r="D18" s="13"/>
      <c r="E18" s="13"/>
      <c r="F18" s="13"/>
      <c r="G18" s="13"/>
      <c r="H18" s="13"/>
      <c r="I18" s="13"/>
      <c r="J18" s="13"/>
    </row>
    <row r="19" spans="1:10">
      <c r="A19" s="13"/>
      <c r="B19" s="13"/>
      <c r="C19" s="13"/>
      <c r="D19" s="13"/>
      <c r="E19" s="13"/>
      <c r="F19" s="13"/>
      <c r="G19" s="13"/>
      <c r="H19" s="13"/>
      <c r="I19" s="13"/>
      <c r="J19" s="13"/>
    </row>
    <row r="20" spans="1:10">
      <c r="A20" s="13"/>
      <c r="B20" s="13"/>
      <c r="C20" s="13"/>
      <c r="D20" s="13"/>
      <c r="E20" s="13"/>
      <c r="F20" s="13"/>
      <c r="G20" s="13"/>
      <c r="H20" s="13"/>
      <c r="I20" s="13"/>
      <c r="J20" s="13"/>
    </row>
    <row r="21" spans="1:10">
      <c r="A21" s="13"/>
      <c r="B21" s="13"/>
      <c r="C21" s="13"/>
      <c r="D21" s="13"/>
      <c r="E21" s="13"/>
      <c r="F21" s="13"/>
      <c r="G21" s="13"/>
      <c r="H21" s="13"/>
      <c r="I21" s="13"/>
      <c r="J21" s="13"/>
    </row>
    <row r="22" spans="1:10">
      <c r="A22" s="13"/>
      <c r="B22" s="13"/>
      <c r="C22" s="13"/>
      <c r="D22" s="13"/>
      <c r="E22" s="13"/>
      <c r="F22" s="13"/>
      <c r="G22" s="13"/>
      <c r="H22" s="13"/>
      <c r="I22" s="13"/>
      <c r="J22" s="13"/>
    </row>
    <row r="23" spans="1:10">
      <c r="A23" s="13"/>
      <c r="B23" s="13"/>
      <c r="C23" s="13"/>
      <c r="D23" s="13"/>
      <c r="E23" s="13"/>
      <c r="F23" s="13"/>
      <c r="G23" s="13"/>
      <c r="H23" s="13"/>
      <c r="I23" s="13"/>
      <c r="J23" s="13"/>
    </row>
    <row r="24" spans="1:10">
      <c r="A24" s="13"/>
      <c r="B24" s="13"/>
      <c r="C24" s="13"/>
      <c r="D24" s="13"/>
      <c r="E24" s="13"/>
      <c r="F24" s="13"/>
      <c r="G24" s="13"/>
      <c r="H24" s="13"/>
      <c r="I24" s="13"/>
      <c r="J24" s="13"/>
    </row>
    <row r="25" spans="1:10">
      <c r="A25" s="13"/>
      <c r="B25" s="13"/>
      <c r="C25" s="13"/>
      <c r="D25" s="13"/>
      <c r="E25" s="13"/>
      <c r="F25" s="13"/>
      <c r="G25" s="13"/>
      <c r="H25" s="13"/>
      <c r="I25" s="13"/>
      <c r="J25" s="13"/>
    </row>
    <row r="26" spans="1:10">
      <c r="A26" s="13"/>
      <c r="B26" s="13"/>
      <c r="C26" s="13"/>
      <c r="D26" s="13"/>
      <c r="E26" s="13"/>
      <c r="F26" s="13"/>
      <c r="G26" s="13"/>
      <c r="H26" s="13"/>
      <c r="I26" s="13"/>
      <c r="J26" s="13"/>
    </row>
    <row r="27" spans="1:10">
      <c r="A27" s="13"/>
      <c r="B27" s="13"/>
      <c r="C27" s="13"/>
      <c r="D27" s="13"/>
      <c r="E27" s="13"/>
      <c r="F27" s="13"/>
      <c r="G27" s="13"/>
      <c r="H27" s="13"/>
      <c r="I27" s="13"/>
      <c r="J27" s="13"/>
    </row>
    <row r="28" spans="1:10">
      <c r="A28" s="13"/>
      <c r="B28" s="13"/>
      <c r="C28" s="13"/>
      <c r="D28" s="13"/>
      <c r="E28" s="13"/>
      <c r="F28" s="13"/>
      <c r="G28" s="13"/>
      <c r="H28" s="13"/>
      <c r="I28" s="13"/>
      <c r="J28" s="13"/>
    </row>
    <row r="29" spans="1:10">
      <c r="A29" s="13"/>
      <c r="B29" s="13"/>
      <c r="C29" s="13"/>
      <c r="D29" s="13"/>
      <c r="E29" s="13"/>
      <c r="F29" s="13"/>
      <c r="G29" s="13"/>
      <c r="H29" s="13"/>
      <c r="I29" s="13"/>
      <c r="J29" s="13"/>
    </row>
    <row r="30" spans="1:10">
      <c r="A30" s="13"/>
      <c r="B30" s="13"/>
      <c r="C30" s="13"/>
      <c r="D30" s="13"/>
      <c r="E30" s="13"/>
      <c r="F30" s="13"/>
      <c r="G30" s="13"/>
      <c r="H30" s="13"/>
      <c r="I30" s="13"/>
      <c r="J30" s="13"/>
    </row>
    <row r="31" spans="1:10">
      <c r="A31" s="13"/>
      <c r="B31" s="13"/>
      <c r="C31" s="13"/>
      <c r="D31" s="13"/>
      <c r="E31" s="13"/>
      <c r="F31" s="13"/>
      <c r="G31" s="13"/>
      <c r="H31" s="13"/>
      <c r="I31" s="13"/>
      <c r="J31" s="13"/>
    </row>
    <row r="32" spans="1:10">
      <c r="A32" s="13"/>
      <c r="B32" s="13"/>
      <c r="C32" s="13"/>
      <c r="D32" s="13"/>
      <c r="E32" s="13"/>
      <c r="F32" s="13"/>
      <c r="G32" s="13"/>
      <c r="H32" s="13"/>
      <c r="I32" s="13"/>
      <c r="J32" s="13"/>
    </row>
  </sheetData>
  <phoneticPr fontId="1"/>
  <pageMargins left="0.7" right="0.7" top="0.75" bottom="0.75" header="0.3" footer="0.3"/>
  <pageSetup paperSize="9" scale="68"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59"/>
  <sheetViews>
    <sheetView view="pageBreakPreview" topLeftCell="A10" zoomScale="60" workbookViewId="0">
      <selection activeCell="H23" sqref="H23"/>
    </sheetView>
  </sheetViews>
  <sheetFormatPr defaultRowHeight="13.5"/>
  <cols>
    <col min="1" max="1" width="7.5" customWidth="1"/>
    <col min="2" max="2" width="17.75" customWidth="1"/>
    <col min="3" max="3" width="12.75" customWidth="1"/>
    <col min="4" max="4" width="22.375" customWidth="1"/>
    <col min="5" max="5" width="12.75" customWidth="1"/>
    <col min="6" max="6" width="14.25" customWidth="1"/>
    <col min="7" max="7" width="21.875" customWidth="1"/>
    <col min="8" max="8" width="17.25" customWidth="1"/>
    <col min="9" max="9" width="15.625" customWidth="1"/>
    <col min="10" max="10" width="15.125" customWidth="1"/>
    <col min="11" max="11" width="12.625" customWidth="1"/>
    <col min="12" max="12" width="15.75" customWidth="1"/>
    <col min="13" max="13" width="16.125" customWidth="1"/>
  </cols>
  <sheetData>
    <row r="1" spans="1:9" ht="14.25">
      <c r="A1" s="44" t="s">
        <v>388</v>
      </c>
      <c r="B1" s="44"/>
      <c r="C1" s="44"/>
      <c r="D1" s="44"/>
    </row>
    <row r="2" spans="1:9" ht="27">
      <c r="A2" s="254" t="s">
        <v>829</v>
      </c>
      <c r="B2" s="258" t="s">
        <v>659</v>
      </c>
      <c r="C2" s="262" t="s">
        <v>863</v>
      </c>
      <c r="D2" s="262" t="s">
        <v>745</v>
      </c>
      <c r="E2" s="262" t="s">
        <v>865</v>
      </c>
      <c r="F2" s="262"/>
      <c r="G2" s="264" t="s">
        <v>786</v>
      </c>
    </row>
    <row r="3" spans="1:9">
      <c r="A3" s="255" t="s">
        <v>864</v>
      </c>
      <c r="B3" s="53" t="s">
        <v>1153</v>
      </c>
      <c r="C3" s="53" t="s">
        <v>1159</v>
      </c>
      <c r="D3" s="53" t="s">
        <v>963</v>
      </c>
      <c r="E3" s="53" t="s">
        <v>423</v>
      </c>
      <c r="F3" s="53"/>
      <c r="G3" s="265" t="s">
        <v>482</v>
      </c>
      <c r="H3" s="13"/>
      <c r="I3" s="13"/>
    </row>
    <row r="4" spans="1:9" ht="27" customHeight="1">
      <c r="A4" s="255"/>
      <c r="B4" s="259"/>
      <c r="C4" s="53"/>
      <c r="D4" s="259"/>
      <c r="E4" s="53"/>
      <c r="F4" s="53"/>
      <c r="G4" s="265"/>
      <c r="H4" s="13"/>
      <c r="I4" s="13"/>
    </row>
    <row r="5" spans="1:9">
      <c r="A5" s="255"/>
      <c r="B5" s="259"/>
      <c r="C5" s="53"/>
      <c r="D5" s="259"/>
      <c r="E5" s="53"/>
      <c r="F5" s="53"/>
      <c r="G5" s="265"/>
      <c r="H5" s="13"/>
      <c r="I5" s="13"/>
    </row>
    <row r="6" spans="1:9">
      <c r="A6" s="255"/>
      <c r="B6" s="259"/>
      <c r="C6" s="53"/>
      <c r="D6" s="259"/>
      <c r="E6" s="53"/>
      <c r="F6" s="53"/>
      <c r="G6" s="265"/>
      <c r="H6" s="13"/>
      <c r="I6" s="13"/>
    </row>
    <row r="7" spans="1:9">
      <c r="A7" s="255"/>
      <c r="B7" s="259"/>
      <c r="C7" s="53"/>
      <c r="D7" s="259"/>
      <c r="E7" s="53"/>
      <c r="F7" s="53"/>
      <c r="G7" s="265"/>
      <c r="H7" s="13"/>
      <c r="I7" s="13"/>
    </row>
    <row r="8" spans="1:9" ht="13.5" customHeight="1">
      <c r="A8" s="255"/>
      <c r="B8" s="259"/>
      <c r="C8" s="53"/>
      <c r="D8" s="259"/>
      <c r="E8" s="53"/>
      <c r="F8" s="53"/>
      <c r="G8" s="265"/>
      <c r="H8" s="13"/>
      <c r="I8" s="13"/>
    </row>
    <row r="9" spans="1:9">
      <c r="A9" s="255"/>
      <c r="B9" s="259"/>
      <c r="C9" s="53"/>
      <c r="D9" s="259"/>
      <c r="E9" s="53"/>
      <c r="F9" s="53"/>
      <c r="G9" s="265"/>
      <c r="H9" s="13"/>
      <c r="I9" s="13"/>
    </row>
    <row r="10" spans="1:9">
      <c r="A10" s="255"/>
      <c r="B10" s="259"/>
      <c r="C10" s="53"/>
      <c r="D10" s="259"/>
      <c r="E10" s="53"/>
      <c r="F10" s="53"/>
      <c r="G10" s="265"/>
      <c r="H10" s="13"/>
      <c r="I10" s="13"/>
    </row>
    <row r="11" spans="1:9">
      <c r="A11" s="255"/>
      <c r="B11" s="259"/>
      <c r="C11" s="53"/>
      <c r="D11" s="259"/>
      <c r="E11" s="53"/>
      <c r="F11" s="53"/>
      <c r="G11" s="265"/>
      <c r="H11" s="13"/>
      <c r="I11" s="13"/>
    </row>
    <row r="12" spans="1:9">
      <c r="A12" s="255"/>
      <c r="B12" s="259"/>
      <c r="C12" s="53"/>
      <c r="D12" s="259"/>
      <c r="E12" s="53"/>
      <c r="F12" s="53"/>
      <c r="G12" s="265"/>
      <c r="H12" s="13"/>
      <c r="I12" s="13"/>
    </row>
    <row r="13" spans="1:9">
      <c r="A13" s="256" t="s">
        <v>621</v>
      </c>
      <c r="B13" s="53" t="s">
        <v>377</v>
      </c>
      <c r="C13" s="224" t="s">
        <v>1160</v>
      </c>
      <c r="D13" s="53" t="s">
        <v>1165</v>
      </c>
      <c r="E13" s="53" t="s">
        <v>1170</v>
      </c>
      <c r="F13" s="53"/>
      <c r="G13" s="265" t="s">
        <v>178</v>
      </c>
      <c r="H13" s="13"/>
      <c r="I13" s="13"/>
    </row>
    <row r="14" spans="1:9">
      <c r="A14" s="256"/>
      <c r="B14" s="259"/>
      <c r="C14" s="72"/>
      <c r="D14" s="53"/>
      <c r="E14" s="53"/>
      <c r="F14" s="53"/>
      <c r="G14" s="265"/>
      <c r="H14" s="13"/>
      <c r="I14" s="13"/>
    </row>
    <row r="15" spans="1:9">
      <c r="A15" s="256"/>
      <c r="B15" s="259"/>
      <c r="C15" s="72"/>
      <c r="D15" s="53"/>
      <c r="E15" s="53"/>
      <c r="F15" s="53"/>
      <c r="G15" s="265"/>
      <c r="H15" s="13"/>
      <c r="I15" s="13"/>
    </row>
    <row r="16" spans="1:9">
      <c r="A16" s="256"/>
      <c r="B16" s="259"/>
      <c r="C16" s="72"/>
      <c r="D16" s="53"/>
      <c r="E16" s="53"/>
      <c r="F16" s="53"/>
      <c r="G16" s="265"/>
      <c r="H16" s="13"/>
      <c r="I16" s="13"/>
    </row>
    <row r="17" spans="1:9">
      <c r="A17" s="256"/>
      <c r="B17" s="259"/>
      <c r="C17" s="72"/>
      <c r="D17" s="53"/>
      <c r="E17" s="53"/>
      <c r="F17" s="53"/>
      <c r="G17" s="265"/>
      <c r="H17" s="13"/>
      <c r="I17" s="13"/>
    </row>
    <row r="18" spans="1:9" ht="13.5" customHeight="1">
      <c r="A18" s="256"/>
      <c r="B18" s="259"/>
      <c r="C18" s="72"/>
      <c r="D18" s="53"/>
      <c r="E18" s="53"/>
      <c r="F18" s="53"/>
      <c r="G18" s="265"/>
      <c r="H18" s="13"/>
      <c r="I18" s="13"/>
    </row>
    <row r="19" spans="1:9">
      <c r="A19" s="256"/>
      <c r="B19" s="259"/>
      <c r="C19" s="72"/>
      <c r="D19" s="53"/>
      <c r="E19" s="53"/>
      <c r="F19" s="53"/>
      <c r="G19" s="265"/>
      <c r="H19" s="13"/>
      <c r="I19" s="13"/>
    </row>
    <row r="20" spans="1:9">
      <c r="A20" s="256"/>
      <c r="B20" s="259"/>
      <c r="C20" s="72"/>
      <c r="D20" s="53"/>
      <c r="E20" s="53"/>
      <c r="F20" s="53"/>
      <c r="G20" s="265"/>
      <c r="H20" s="13"/>
      <c r="I20" s="13"/>
    </row>
    <row r="21" spans="1:9">
      <c r="A21" s="256"/>
      <c r="B21" s="259"/>
      <c r="C21" s="72"/>
      <c r="D21" s="53"/>
      <c r="E21" s="53"/>
      <c r="F21" s="53"/>
      <c r="G21" s="265"/>
      <c r="H21" s="13"/>
      <c r="I21" s="13"/>
    </row>
    <row r="22" spans="1:9" ht="13.5" customHeight="1">
      <c r="A22" s="256" t="s">
        <v>866</v>
      </c>
      <c r="B22" s="260" t="s">
        <v>1155</v>
      </c>
      <c r="C22" s="53" t="s">
        <v>1161</v>
      </c>
      <c r="D22" s="53" t="s">
        <v>1166</v>
      </c>
      <c r="E22" s="53" t="s">
        <v>221</v>
      </c>
      <c r="F22" s="53"/>
      <c r="G22" s="265" t="s">
        <v>1173</v>
      </c>
      <c r="H22" s="13"/>
      <c r="I22" s="13"/>
    </row>
    <row r="23" spans="1:9">
      <c r="A23" s="256"/>
      <c r="B23" s="260"/>
      <c r="C23" s="53"/>
      <c r="D23" s="53"/>
      <c r="E23" s="53"/>
      <c r="F23" s="53"/>
      <c r="G23" s="265"/>
      <c r="H23" s="13"/>
      <c r="I23" s="13"/>
    </row>
    <row r="24" spans="1:9">
      <c r="A24" s="256"/>
      <c r="B24" s="260"/>
      <c r="C24" s="53"/>
      <c r="D24" s="53"/>
      <c r="E24" s="53"/>
      <c r="F24" s="53"/>
      <c r="G24" s="265"/>
      <c r="H24" s="13"/>
      <c r="I24" s="13"/>
    </row>
    <row r="25" spans="1:9">
      <c r="A25" s="256"/>
      <c r="B25" s="260"/>
      <c r="C25" s="53"/>
      <c r="D25" s="53"/>
      <c r="E25" s="53"/>
      <c r="F25" s="53"/>
      <c r="G25" s="265"/>
      <c r="H25" s="13"/>
      <c r="I25" s="13"/>
    </row>
    <row r="26" spans="1:9" ht="13.5" customHeight="1">
      <c r="A26" s="256"/>
      <c r="B26" s="260"/>
      <c r="C26" s="53"/>
      <c r="D26" s="53"/>
      <c r="E26" s="53"/>
      <c r="F26" s="53"/>
      <c r="G26" s="265"/>
      <c r="H26" s="13"/>
      <c r="I26" s="13"/>
    </row>
    <row r="27" spans="1:9">
      <c r="A27" s="256"/>
      <c r="B27" s="260"/>
      <c r="C27" s="53"/>
      <c r="D27" s="53"/>
      <c r="E27" s="53"/>
      <c r="F27" s="53"/>
      <c r="G27" s="265"/>
      <c r="H27" s="13"/>
      <c r="I27" s="13"/>
    </row>
    <row r="28" spans="1:9">
      <c r="A28" s="256"/>
      <c r="B28" s="260"/>
      <c r="C28" s="53"/>
      <c r="D28" s="53"/>
      <c r="E28" s="53"/>
      <c r="F28" s="53"/>
      <c r="G28" s="265"/>
      <c r="H28" s="13"/>
      <c r="I28" s="13"/>
    </row>
    <row r="29" spans="1:9">
      <c r="A29" s="256"/>
      <c r="B29" s="260"/>
      <c r="C29" s="53"/>
      <c r="D29" s="53"/>
      <c r="E29" s="53"/>
      <c r="F29" s="53"/>
      <c r="G29" s="265"/>
      <c r="H29" s="13"/>
      <c r="I29" s="13"/>
    </row>
    <row r="30" spans="1:9">
      <c r="A30" s="256"/>
      <c r="B30" s="260"/>
      <c r="C30" s="53"/>
      <c r="D30" s="53"/>
      <c r="E30" s="53"/>
      <c r="F30" s="53"/>
      <c r="G30" s="265"/>
      <c r="H30" s="13"/>
      <c r="I30" s="13"/>
    </row>
    <row r="31" spans="1:9">
      <c r="A31" s="256"/>
      <c r="B31" s="260"/>
      <c r="C31" s="53"/>
      <c r="D31" s="53"/>
      <c r="E31" s="53"/>
      <c r="F31" s="53"/>
      <c r="G31" s="265"/>
      <c r="H31" s="13"/>
      <c r="I31" s="13"/>
    </row>
    <row r="32" spans="1:9" ht="13.5" customHeight="1">
      <c r="A32" s="255" t="s">
        <v>771</v>
      </c>
      <c r="B32" s="53" t="s">
        <v>669</v>
      </c>
      <c r="C32" s="53" t="s">
        <v>1162</v>
      </c>
      <c r="D32" s="53" t="s">
        <v>1167</v>
      </c>
      <c r="E32" s="53" t="s">
        <v>138</v>
      </c>
      <c r="F32" s="53"/>
      <c r="G32" s="265" t="s">
        <v>264</v>
      </c>
    </row>
    <row r="33" spans="1:7" ht="13.5" customHeight="1">
      <c r="A33" s="255"/>
      <c r="B33" s="53"/>
      <c r="C33" s="53"/>
      <c r="D33" s="259"/>
      <c r="E33" s="53"/>
      <c r="F33" s="53"/>
      <c r="G33" s="265"/>
    </row>
    <row r="34" spans="1:7">
      <c r="A34" s="255"/>
      <c r="B34" s="53"/>
      <c r="C34" s="53"/>
      <c r="D34" s="259"/>
      <c r="E34" s="53"/>
      <c r="F34" s="53"/>
      <c r="G34" s="265"/>
    </row>
    <row r="35" spans="1:7">
      <c r="A35" s="255"/>
      <c r="B35" s="53"/>
      <c r="C35" s="53"/>
      <c r="D35" s="259"/>
      <c r="E35" s="53"/>
      <c r="F35" s="53"/>
      <c r="G35" s="265"/>
    </row>
    <row r="36" spans="1:7">
      <c r="A36" s="255"/>
      <c r="B36" s="53"/>
      <c r="C36" s="53"/>
      <c r="D36" s="259"/>
      <c r="E36" s="53"/>
      <c r="F36" s="53"/>
      <c r="G36" s="265"/>
    </row>
    <row r="37" spans="1:7">
      <c r="A37" s="255"/>
      <c r="B37" s="53"/>
      <c r="C37" s="53"/>
      <c r="D37" s="259"/>
      <c r="E37" s="53"/>
      <c r="F37" s="53"/>
      <c r="G37" s="265"/>
    </row>
    <row r="38" spans="1:7">
      <c r="A38" s="255"/>
      <c r="B38" s="53"/>
      <c r="C38" s="53"/>
      <c r="D38" s="259"/>
      <c r="E38" s="53"/>
      <c r="F38" s="53"/>
      <c r="G38" s="265"/>
    </row>
    <row r="39" spans="1:7">
      <c r="A39" s="255"/>
      <c r="B39" s="53"/>
      <c r="C39" s="53"/>
      <c r="D39" s="259"/>
      <c r="E39" s="53"/>
      <c r="F39" s="53"/>
      <c r="G39" s="265"/>
    </row>
    <row r="40" spans="1:7" ht="13.5" customHeight="1">
      <c r="A40" s="255" t="s">
        <v>83</v>
      </c>
      <c r="B40" s="53" t="s">
        <v>1156</v>
      </c>
      <c r="C40" s="53" t="s">
        <v>1163</v>
      </c>
      <c r="D40" s="53" t="s">
        <v>1168</v>
      </c>
      <c r="E40" s="53" t="s">
        <v>1171</v>
      </c>
      <c r="F40" s="53"/>
      <c r="G40" s="265" t="s">
        <v>1174</v>
      </c>
    </row>
    <row r="41" spans="1:7">
      <c r="A41" s="255"/>
      <c r="B41" s="53"/>
      <c r="C41" s="53"/>
      <c r="D41" s="53"/>
      <c r="E41" s="53"/>
      <c r="F41" s="53"/>
      <c r="G41" s="265"/>
    </row>
    <row r="42" spans="1:7">
      <c r="A42" s="255"/>
      <c r="B42" s="53"/>
      <c r="C42" s="53"/>
      <c r="D42" s="53"/>
      <c r="E42" s="53"/>
      <c r="F42" s="53"/>
      <c r="G42" s="265"/>
    </row>
    <row r="43" spans="1:7">
      <c r="A43" s="255"/>
      <c r="B43" s="53"/>
      <c r="C43" s="53"/>
      <c r="D43" s="53"/>
      <c r="E43" s="53"/>
      <c r="F43" s="53"/>
      <c r="G43" s="265"/>
    </row>
    <row r="44" spans="1:7">
      <c r="A44" s="255"/>
      <c r="B44" s="53"/>
      <c r="C44" s="53"/>
      <c r="D44" s="53"/>
      <c r="E44" s="53"/>
      <c r="F44" s="53"/>
      <c r="G44" s="265"/>
    </row>
    <row r="45" spans="1:7">
      <c r="A45" s="255"/>
      <c r="B45" s="53"/>
      <c r="C45" s="53"/>
      <c r="D45" s="53"/>
      <c r="E45" s="53"/>
      <c r="F45" s="53"/>
      <c r="G45" s="265"/>
    </row>
    <row r="46" spans="1:7">
      <c r="A46" s="255"/>
      <c r="B46" s="53"/>
      <c r="C46" s="53"/>
      <c r="D46" s="53"/>
      <c r="E46" s="53"/>
      <c r="F46" s="53"/>
      <c r="G46" s="265"/>
    </row>
    <row r="47" spans="1:7">
      <c r="A47" s="255" t="s">
        <v>55</v>
      </c>
      <c r="B47" s="53" t="s">
        <v>1157</v>
      </c>
      <c r="C47" s="53" t="s">
        <v>1164</v>
      </c>
      <c r="D47" s="53" t="s">
        <v>1169</v>
      </c>
      <c r="E47" s="259"/>
      <c r="F47" s="259"/>
      <c r="G47" s="82"/>
    </row>
    <row r="48" spans="1:7">
      <c r="A48" s="255"/>
      <c r="B48" s="53"/>
      <c r="C48" s="53"/>
      <c r="D48" s="259"/>
      <c r="E48" s="259"/>
      <c r="F48" s="259"/>
      <c r="G48" s="82"/>
    </row>
    <row r="49" spans="1:7">
      <c r="A49" s="255"/>
      <c r="B49" s="53"/>
      <c r="C49" s="53"/>
      <c r="D49" s="259"/>
      <c r="E49" s="259"/>
      <c r="F49" s="259"/>
      <c r="G49" s="82"/>
    </row>
    <row r="50" spans="1:7">
      <c r="A50" s="255"/>
      <c r="B50" s="53"/>
      <c r="C50" s="53"/>
      <c r="D50" s="259"/>
      <c r="E50" s="259"/>
      <c r="F50" s="259"/>
      <c r="G50" s="82"/>
    </row>
    <row r="51" spans="1:7">
      <c r="A51" s="255"/>
      <c r="B51" s="53"/>
      <c r="C51" s="53"/>
      <c r="D51" s="259"/>
      <c r="E51" s="259"/>
      <c r="F51" s="259"/>
      <c r="G51" s="82"/>
    </row>
    <row r="52" spans="1:7">
      <c r="A52" s="255"/>
      <c r="B52" s="53"/>
      <c r="C52" s="53"/>
      <c r="D52" s="259"/>
      <c r="E52" s="259"/>
      <c r="F52" s="259"/>
      <c r="G52" s="82"/>
    </row>
    <row r="53" spans="1:7">
      <c r="A53" s="255"/>
      <c r="B53" s="53"/>
      <c r="C53" s="53"/>
      <c r="D53" s="259"/>
      <c r="E53" s="259"/>
      <c r="F53" s="259"/>
      <c r="G53" s="82"/>
    </row>
    <row r="54" spans="1:7">
      <c r="A54" s="255" t="s">
        <v>867</v>
      </c>
      <c r="B54" s="53" t="s">
        <v>1158</v>
      </c>
      <c r="C54" s="259"/>
      <c r="D54" s="259"/>
      <c r="E54" s="259"/>
      <c r="F54" s="259"/>
      <c r="G54" s="265" t="s">
        <v>434</v>
      </c>
    </row>
    <row r="55" spans="1:7">
      <c r="A55" s="255"/>
      <c r="B55" s="53"/>
      <c r="C55" s="259"/>
      <c r="D55" s="259"/>
      <c r="E55" s="259"/>
      <c r="F55" s="259"/>
      <c r="G55" s="265"/>
    </row>
    <row r="56" spans="1:7">
      <c r="A56" s="255"/>
      <c r="B56" s="53"/>
      <c r="C56" s="259"/>
      <c r="D56" s="259"/>
      <c r="E56" s="259"/>
      <c r="F56" s="259"/>
      <c r="G56" s="265"/>
    </row>
    <row r="57" spans="1:7">
      <c r="A57" s="255"/>
      <c r="B57" s="53"/>
      <c r="C57" s="259"/>
      <c r="D57" s="259"/>
      <c r="E57" s="259"/>
      <c r="F57" s="259"/>
      <c r="G57" s="265"/>
    </row>
    <row r="58" spans="1:7">
      <c r="A58" s="255"/>
      <c r="B58" s="53"/>
      <c r="C58" s="259"/>
      <c r="D58" s="259"/>
      <c r="E58" s="259"/>
      <c r="F58" s="259"/>
      <c r="G58" s="265"/>
    </row>
    <row r="59" spans="1:7">
      <c r="A59" s="257"/>
      <c r="B59" s="261"/>
      <c r="C59" s="263"/>
      <c r="D59" s="263"/>
      <c r="E59" s="263"/>
      <c r="F59" s="263"/>
      <c r="G59" s="266"/>
    </row>
  </sheetData>
  <mergeCells count="43">
    <mergeCell ref="E2:F2"/>
    <mergeCell ref="A54:A59"/>
    <mergeCell ref="B54:B59"/>
    <mergeCell ref="C54:C59"/>
    <mergeCell ref="D54:D59"/>
    <mergeCell ref="E54:F59"/>
    <mergeCell ref="G54:G59"/>
    <mergeCell ref="A3:A12"/>
    <mergeCell ref="B3:B12"/>
    <mergeCell ref="C3:C12"/>
    <mergeCell ref="D3:D12"/>
    <mergeCell ref="E3:F12"/>
    <mergeCell ref="G3:G12"/>
    <mergeCell ref="A13:A21"/>
    <mergeCell ref="B13:B21"/>
    <mergeCell ref="C13:C21"/>
    <mergeCell ref="D13:D21"/>
    <mergeCell ref="E13:F21"/>
    <mergeCell ref="G13:G21"/>
    <mergeCell ref="A22:A31"/>
    <mergeCell ref="B22:B31"/>
    <mergeCell ref="C22:C31"/>
    <mergeCell ref="D22:D31"/>
    <mergeCell ref="E22:F31"/>
    <mergeCell ref="G22:G31"/>
    <mergeCell ref="A32:A39"/>
    <mergeCell ref="B32:B39"/>
    <mergeCell ref="C32:C39"/>
    <mergeCell ref="D32:D39"/>
    <mergeCell ref="E32:F39"/>
    <mergeCell ref="G32:G39"/>
    <mergeCell ref="A40:A46"/>
    <mergeCell ref="B40:B46"/>
    <mergeCell ref="C40:C46"/>
    <mergeCell ref="D40:D46"/>
    <mergeCell ref="E40:F46"/>
    <mergeCell ref="G40:G46"/>
    <mergeCell ref="A47:A53"/>
    <mergeCell ref="B47:B53"/>
    <mergeCell ref="C47:C53"/>
    <mergeCell ref="D47:D53"/>
    <mergeCell ref="E47:F53"/>
    <mergeCell ref="G47:G53"/>
  </mergeCells>
  <phoneticPr fontId="1"/>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32</vt:i4>
      </vt:variant>
    </vt:vector>
  </HeadingPairs>
  <TitlesOfParts>
    <vt:vector size="32" baseType="lpstr">
      <vt:lpstr>様式一覧表</vt:lpstr>
      <vt:lpstr>表紙</vt:lpstr>
      <vt:lpstr>様式１</vt:lpstr>
      <vt:lpstr>様式２</vt:lpstr>
      <vt:lpstr>様式３</vt:lpstr>
      <vt:lpstr>様式４</vt:lpstr>
      <vt:lpstr>様式５</vt:lpstr>
      <vt:lpstr>様式６</vt:lpstr>
      <vt:lpstr>様式６参考(タイムライン)</vt:lpstr>
      <vt:lpstr>様式７</vt:lpstr>
      <vt:lpstr>様式8</vt:lpstr>
      <vt:lpstr>様式９</vt:lpstr>
      <vt:lpstr>様式10</vt:lpstr>
      <vt:lpstr>様式11</vt:lpstr>
      <vt:lpstr>様式12</vt:lpstr>
      <vt:lpstr>様式13</vt:lpstr>
      <vt:lpstr>様式14</vt:lpstr>
      <vt:lpstr>様式15</vt:lpstr>
      <vt:lpstr>【参考】BCP特別保証</vt:lpstr>
      <vt:lpstr>参考様式１</vt:lpstr>
      <vt:lpstr>参考様式２</vt:lpstr>
      <vt:lpstr>参考様式３</vt:lpstr>
      <vt:lpstr>参考様式４</vt:lpstr>
      <vt:lpstr>参考様式５</vt:lpstr>
      <vt:lpstr>参考様式６</vt:lpstr>
      <vt:lpstr>参考様式７</vt:lpstr>
      <vt:lpstr>参考様式８</vt:lpstr>
      <vt:lpstr>参考様式９</vt:lpstr>
      <vt:lpstr>参考様式１０</vt:lpstr>
      <vt:lpstr>参考様式１１</vt:lpstr>
      <vt:lpstr>参考様式１２</vt:lpstr>
      <vt:lpstr>DV-IDENTITY-0</vt:lpstr>
    </vt:vector>
  </TitlesOfParts>
  <Company>Microsoft</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宮角良介</dc:creator>
  <cp:lastModifiedBy>深澤　克友</cp:lastModifiedBy>
  <cp:lastPrinted>2023-02-22T00:42:31Z</cp:lastPrinted>
  <dcterms:created xsi:type="dcterms:W3CDTF">2011-10-29T11:43:04Z</dcterms:created>
  <dcterms:modified xsi:type="dcterms:W3CDTF">2024-02-08T01:11:11Z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Google.Documents.DocumentId">
    <vt:lpwstr>1vCkAqKkRcM-Pd-79fRALem8b6XX-E48bOIpsoP9ptoE</vt:lpwstr>
  </property>
  <property fmtid="{D5CDD505-2E9C-101B-9397-08002B2CF9AE}" pid="3" name="Google.Documents.MergeIncapabilityFlags">
    <vt:i4>0</vt:i4>
  </property>
  <property fmtid="{D5CDD505-2E9C-101B-9397-08002B2CF9AE}" pid="4" name="Google.Documents.PluginVersion">
    <vt:lpwstr>2.0.2424.7283</vt:lpwstr>
  </property>
  <property fmtid="{D5CDD505-2E9C-101B-9397-08002B2CF9AE}" pid="5" name="Google.Documents.RevisionId">
    <vt:lpwstr>04555561300577736954</vt:lpwstr>
  </property>
  <property fmtid="{D5CDD505-2E9C-101B-9397-08002B2CF9AE}" pid="6" name="Google.Documents.Tracking">
    <vt:lpwstr>true</vt:lpwstr>
  </property>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2024-02-08T01:11:11Z</vt:filetime>
  </property>
</Properties>
</file>